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ātera 31\"/>
    </mc:Choice>
  </mc:AlternateContent>
  <xr:revisionPtr revIDLastSave="0" documentId="13_ncr:1_{FED147F7-29C1-4773-86B0-8B9F90D2D1A0}" xr6:coauthVersionLast="45" xr6:coauthVersionMax="45" xr10:uidLastSave="{00000000-0000-0000-0000-000000000000}"/>
  <bookViews>
    <workbookView xWindow="-108" yWindow="-108" windowWidth="23256" windowHeight="12576" tabRatio="846" activeTab="2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1" l="1"/>
  <c r="J15" i="11" s="1"/>
  <c r="O15" i="11" s="1"/>
  <c r="L15" i="11"/>
  <c r="N15" i="11"/>
  <c r="H16" i="11"/>
  <c r="J16" i="11" s="1"/>
  <c r="O16" i="11" s="1"/>
  <c r="L16" i="11"/>
  <c r="N16" i="11"/>
  <c r="H17" i="11"/>
  <c r="J17" i="11" s="1"/>
  <c r="O17" i="11" s="1"/>
  <c r="L17" i="11"/>
  <c r="N17" i="11"/>
  <c r="H18" i="11"/>
  <c r="J18" i="11" s="1"/>
  <c r="O18" i="11" s="1"/>
  <c r="L18" i="11"/>
  <c r="N18" i="11"/>
  <c r="H19" i="11"/>
  <c r="J19" i="11" s="1"/>
  <c r="O19" i="11" s="1"/>
  <c r="L19" i="11"/>
  <c r="N19" i="11"/>
  <c r="H20" i="11"/>
  <c r="J20" i="11" s="1"/>
  <c r="O20" i="11" s="1"/>
  <c r="L20" i="11"/>
  <c r="N20" i="11"/>
  <c r="H21" i="11"/>
  <c r="J21" i="11" s="1"/>
  <c r="O21" i="11" s="1"/>
  <c r="L21" i="11"/>
  <c r="N21" i="11"/>
  <c r="H22" i="11"/>
  <c r="J22" i="11" s="1"/>
  <c r="O22" i="11" s="1"/>
  <c r="L22" i="11"/>
  <c r="N22" i="11"/>
  <c r="H23" i="11"/>
  <c r="J23" i="11" s="1"/>
  <c r="O23" i="11" s="1"/>
  <c r="L23" i="11"/>
  <c r="N23" i="11"/>
  <c r="H24" i="11"/>
  <c r="J24" i="11" s="1"/>
  <c r="O24" i="11" s="1"/>
  <c r="L24" i="11"/>
  <c r="N24" i="11"/>
  <c r="H25" i="11"/>
  <c r="J25" i="11" s="1"/>
  <c r="O25" i="11" s="1"/>
  <c r="L25" i="11"/>
  <c r="N25" i="11"/>
  <c r="P19" i="11" l="1"/>
  <c r="P18" i="11"/>
  <c r="P16" i="11"/>
  <c r="P15" i="11"/>
  <c r="M21" i="11"/>
  <c r="P21" i="11" s="1"/>
  <c r="M20" i="11"/>
  <c r="M19" i="11"/>
  <c r="M18" i="11"/>
  <c r="M17" i="11"/>
  <c r="P17" i="11" s="1"/>
  <c r="M16" i="11"/>
  <c r="M15" i="11"/>
  <c r="P20" i="11"/>
  <c r="M24" i="11"/>
  <c r="P24" i="11" s="1"/>
  <c r="M23" i="11"/>
  <c r="P23" i="11" s="1"/>
  <c r="M22" i="11"/>
  <c r="P22" i="11" s="1"/>
  <c r="K25" i="11"/>
  <c r="K24" i="11"/>
  <c r="K23" i="11"/>
  <c r="K22" i="11"/>
  <c r="K21" i="11"/>
  <c r="K20" i="11"/>
  <c r="K19" i="11"/>
  <c r="K18" i="11"/>
  <c r="K17" i="11"/>
  <c r="K16" i="11"/>
  <c r="K15" i="11"/>
  <c r="M25" i="11"/>
  <c r="P25" i="11" s="1"/>
  <c r="E44" i="9"/>
  <c r="E43" i="9"/>
  <c r="E16" i="8"/>
  <c r="E18" i="8" s="1"/>
  <c r="E16" i="7"/>
  <c r="E26" i="5"/>
  <c r="E47" i="5"/>
  <c r="E17" i="8" l="1"/>
  <c r="E34" i="5"/>
  <c r="L54" i="5" l="1"/>
  <c r="M54" i="5"/>
  <c r="N54" i="5"/>
  <c r="O54" i="5"/>
  <c r="K51" i="5"/>
  <c r="K52" i="5"/>
  <c r="K53" i="5"/>
  <c r="K54" i="5"/>
  <c r="H50" i="5"/>
  <c r="E50" i="5"/>
  <c r="N50" i="5" s="1"/>
  <c r="J48" i="5"/>
  <c r="K48" i="5" s="1"/>
  <c r="L48" i="5"/>
  <c r="M48" i="5"/>
  <c r="N48" i="5"/>
  <c r="H49" i="5"/>
  <c r="J49" i="5" s="1"/>
  <c r="E49" i="5"/>
  <c r="L49" i="5" s="1"/>
  <c r="H47" i="5"/>
  <c r="O49" i="5" l="1"/>
  <c r="M50" i="5"/>
  <c r="P54" i="5"/>
  <c r="N49" i="5"/>
  <c r="M49" i="5"/>
  <c r="K49" i="5"/>
  <c r="E51" i="5"/>
  <c r="O48" i="5"/>
  <c r="P48" i="5" s="1"/>
  <c r="E52" i="5"/>
  <c r="E53" i="5"/>
  <c r="J50" i="5"/>
  <c r="O50" i="5" s="1"/>
  <c r="L50" i="5"/>
  <c r="H41" i="11"/>
  <c r="H33" i="10"/>
  <c r="H34" i="10"/>
  <c r="H26" i="11"/>
  <c r="J26" i="11" s="1"/>
  <c r="H27" i="11"/>
  <c r="J27" i="11" s="1"/>
  <c r="H28" i="11"/>
  <c r="J28" i="11" s="1"/>
  <c r="H29" i="11"/>
  <c r="J29" i="11" s="1"/>
  <c r="H30" i="11"/>
  <c r="J30" i="11" s="1"/>
  <c r="H31" i="11"/>
  <c r="J31" i="11" s="1"/>
  <c r="H32" i="11"/>
  <c r="J32" i="11" s="1"/>
  <c r="H33" i="11"/>
  <c r="J33" i="11" s="1"/>
  <c r="H34" i="11"/>
  <c r="J34" i="11" s="1"/>
  <c r="H35" i="11"/>
  <c r="H37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P50" i="5" l="1"/>
  <c r="K50" i="5"/>
  <c r="P49" i="5"/>
  <c r="M53" i="5"/>
  <c r="L53" i="5"/>
  <c r="N53" i="5"/>
  <c r="O53" i="5"/>
  <c r="L51" i="5"/>
  <c r="M51" i="5"/>
  <c r="N51" i="5"/>
  <c r="O51" i="5"/>
  <c r="N52" i="5"/>
  <c r="O52" i="5"/>
  <c r="L52" i="5"/>
  <c r="M52" i="5"/>
  <c r="K47" i="5"/>
  <c r="N54" i="11"/>
  <c r="L54" i="11"/>
  <c r="N36" i="11"/>
  <c r="L36" i="11"/>
  <c r="J42" i="11"/>
  <c r="J43" i="11"/>
  <c r="J44" i="11"/>
  <c r="J45" i="11"/>
  <c r="J46" i="11"/>
  <c r="H36" i="11"/>
  <c r="J36" i="11" s="1"/>
  <c r="J37" i="11"/>
  <c r="J38" i="11"/>
  <c r="J39" i="11"/>
  <c r="J40" i="11"/>
  <c r="J41" i="11"/>
  <c r="M36" i="11" l="1"/>
  <c r="P52" i="5"/>
  <c r="P51" i="5"/>
  <c r="P53" i="5"/>
  <c r="M54" i="11"/>
  <c r="J54" i="11"/>
  <c r="O54" i="11" s="1"/>
  <c r="O36" i="11"/>
  <c r="P36" i="11" s="1"/>
  <c r="K36" i="11"/>
  <c r="P54" i="11" l="1"/>
  <c r="K54" i="11"/>
  <c r="J58" i="11"/>
  <c r="J57" i="11"/>
  <c r="J56" i="11"/>
  <c r="J55" i="11"/>
  <c r="J53" i="11"/>
  <c r="J51" i="11"/>
  <c r="J52" i="11"/>
  <c r="J50" i="11"/>
  <c r="J49" i="11"/>
  <c r="J47" i="11"/>
  <c r="J48" i="11"/>
  <c r="K37" i="11"/>
  <c r="H57" i="10"/>
  <c r="J57" i="10" s="1"/>
  <c r="H55" i="10"/>
  <c r="J55" i="10" s="1"/>
  <c r="H56" i="10"/>
  <c r="J56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35" i="10"/>
  <c r="J35" i="10" s="1"/>
  <c r="H29" i="10"/>
  <c r="J29" i="10" s="1"/>
  <c r="H28" i="10"/>
  <c r="J28" i="10" s="1"/>
  <c r="H46" i="10"/>
  <c r="J46" i="10" s="1"/>
  <c r="H45" i="10"/>
  <c r="J45" i="10" s="1"/>
  <c r="H44" i="10"/>
  <c r="J44" i="10" s="1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J34" i="10"/>
  <c r="J33" i="10"/>
  <c r="H32" i="10"/>
  <c r="J32" i="10" s="1"/>
  <c r="H31" i="10"/>
  <c r="J31" i="10" s="1"/>
  <c r="H30" i="10"/>
  <c r="J30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45" i="9"/>
  <c r="H44" i="9"/>
  <c r="H43" i="9"/>
  <c r="H41" i="9"/>
  <c r="H39" i="9"/>
  <c r="H37" i="9"/>
  <c r="H32" i="9"/>
  <c r="H29" i="9"/>
  <c r="H27" i="9"/>
  <c r="H22" i="9"/>
  <c r="H21" i="9"/>
  <c r="H20" i="9"/>
  <c r="H17" i="9"/>
  <c r="H14" i="9"/>
  <c r="H16" i="8"/>
  <c r="J16" i="8" s="1"/>
  <c r="H14" i="8"/>
  <c r="J14" i="8" s="1"/>
  <c r="H38" i="7"/>
  <c r="H37" i="7"/>
  <c r="H36" i="7"/>
  <c r="H21" i="7"/>
  <c r="H15" i="7"/>
  <c r="H14" i="7"/>
  <c r="H58" i="6"/>
  <c r="H57" i="6"/>
  <c r="H56" i="6"/>
  <c r="H54" i="6"/>
  <c r="H53" i="6"/>
  <c r="H49" i="6"/>
  <c r="H47" i="6"/>
  <c r="H46" i="6"/>
  <c r="H44" i="6"/>
  <c r="H41" i="6"/>
  <c r="H38" i="6"/>
  <c r="H34" i="6"/>
  <c r="H31" i="6"/>
  <c r="H28" i="6"/>
  <c r="J28" i="6" s="1"/>
  <c r="H25" i="6"/>
  <c r="H21" i="6"/>
  <c r="H18" i="6"/>
  <c r="H17" i="6"/>
  <c r="H16" i="6"/>
  <c r="H15" i="6"/>
  <c r="H14" i="6"/>
  <c r="K38" i="11" l="1"/>
  <c r="H44" i="5" l="1"/>
  <c r="H41" i="5"/>
  <c r="H37" i="5"/>
  <c r="H36" i="5" l="1"/>
  <c r="H34" i="5"/>
  <c r="H31" i="5" l="1"/>
  <c r="H26" i="5"/>
  <c r="H23" i="5"/>
  <c r="H21" i="5"/>
  <c r="H18" i="5"/>
  <c r="H17" i="5"/>
  <c r="H16" i="5"/>
  <c r="N15" i="5"/>
  <c r="L15" i="5"/>
  <c r="H15" i="5"/>
  <c r="H38" i="4"/>
  <c r="J38" i="4" s="1"/>
  <c r="K38" i="4" s="1"/>
  <c r="H36" i="4"/>
  <c r="J36" i="4" s="1"/>
  <c r="K36" i="4" s="1"/>
  <c r="H58" i="4"/>
  <c r="J58" i="4" s="1"/>
  <c r="H55" i="4"/>
  <c r="J55" i="4" s="1"/>
  <c r="H51" i="4"/>
  <c r="J51" i="4" s="1"/>
  <c r="H49" i="4"/>
  <c r="J49" i="4" s="1"/>
  <c r="H46" i="4"/>
  <c r="J46" i="4" s="1"/>
  <c r="H43" i="4"/>
  <c r="J43" i="4" s="1"/>
  <c r="H42" i="4"/>
  <c r="J42" i="4" s="1"/>
  <c r="H34" i="4"/>
  <c r="J34" i="4" s="1"/>
  <c r="H33" i="4"/>
  <c r="J33" i="4" s="1"/>
  <c r="H30" i="4"/>
  <c r="J30" i="4" s="1"/>
  <c r="H27" i="4"/>
  <c r="J27" i="4" s="1"/>
  <c r="H26" i="4"/>
  <c r="J26" i="4" s="1"/>
  <c r="H25" i="4"/>
  <c r="J25" i="4" s="1"/>
  <c r="H20" i="4"/>
  <c r="J20" i="4" s="1"/>
  <c r="H15" i="4"/>
  <c r="J15" i="4" s="1"/>
  <c r="H14" i="4"/>
  <c r="J14" i="4" s="1"/>
  <c r="E35" i="10"/>
  <c r="E15" i="10"/>
  <c r="E42" i="9"/>
  <c r="E40" i="9"/>
  <c r="E38" i="9"/>
  <c r="E35" i="9"/>
  <c r="E34" i="9"/>
  <c r="E33" i="9"/>
  <c r="E31" i="9"/>
  <c r="E30" i="9"/>
  <c r="E28" i="9"/>
  <c r="E26" i="9"/>
  <c r="E25" i="9"/>
  <c r="E24" i="9"/>
  <c r="E23" i="9"/>
  <c r="E18" i="9"/>
  <c r="E15" i="9"/>
  <c r="E15" i="8"/>
  <c r="E15" i="7"/>
  <c r="E55" i="6"/>
  <c r="E44" i="6"/>
  <c r="E45" i="6" s="1"/>
  <c r="E46" i="6" s="1"/>
  <c r="E38" i="6"/>
  <c r="E39" i="6" s="1"/>
  <c r="E34" i="6"/>
  <c r="E35" i="6" s="1"/>
  <c r="E33" i="6"/>
  <c r="E32" i="6"/>
  <c r="E28" i="6"/>
  <c r="E29" i="6" s="1"/>
  <c r="E27" i="6"/>
  <c r="E26" i="6"/>
  <c r="A25" i="6"/>
  <c r="A28" i="6" s="1"/>
  <c r="E23" i="6"/>
  <c r="E22" i="6"/>
  <c r="E20" i="6"/>
  <c r="E19" i="6"/>
  <c r="E17" i="6"/>
  <c r="A16" i="6"/>
  <c r="A17" i="6" s="1"/>
  <c r="A18" i="6" s="1"/>
  <c r="E40" i="5"/>
  <c r="E36" i="5"/>
  <c r="E31" i="5"/>
  <c r="E37" i="5" s="1"/>
  <c r="E29" i="5"/>
  <c r="E28" i="5"/>
  <c r="E27" i="5"/>
  <c r="E23" i="5"/>
  <c r="E25" i="5" s="1"/>
  <c r="E22" i="5"/>
  <c r="E20" i="5"/>
  <c r="E19" i="5"/>
  <c r="E16" i="5"/>
  <c r="E55" i="4"/>
  <c r="E58" i="4" s="1"/>
  <c r="E53" i="4"/>
  <c r="E52" i="4"/>
  <c r="E50" i="4"/>
  <c r="E40" i="4"/>
  <c r="E38" i="4"/>
  <c r="E39" i="4" s="1"/>
  <c r="E37" i="4"/>
  <c r="E35" i="4"/>
  <c r="E24" i="4"/>
  <c r="E23" i="4"/>
  <c r="E22" i="4"/>
  <c r="E21" i="4"/>
  <c r="E19" i="4"/>
  <c r="E18" i="4"/>
  <c r="E17" i="4"/>
  <c r="E16" i="4"/>
  <c r="H27" i="3"/>
  <c r="H26" i="3"/>
  <c r="H25" i="3"/>
  <c r="H24" i="3"/>
  <c r="H22" i="3"/>
  <c r="H17" i="3"/>
  <c r="H15" i="3"/>
  <c r="N16" i="5" l="1"/>
  <c r="L16" i="5"/>
  <c r="K17" i="5"/>
  <c r="O16" i="5"/>
  <c r="K16" i="5"/>
  <c r="M16" i="5"/>
  <c r="M15" i="5"/>
  <c r="O15" i="5"/>
  <c r="E36" i="6"/>
  <c r="E40" i="6"/>
  <c r="E30" i="6"/>
  <c r="E41" i="6"/>
  <c r="E43" i="6" s="1"/>
  <c r="E47" i="6"/>
  <c r="E48" i="6" s="1"/>
  <c r="E24" i="5"/>
  <c r="E41" i="5"/>
  <c r="E39" i="5"/>
  <c r="E38" i="5"/>
  <c r="E35" i="5"/>
  <c r="E32" i="5"/>
  <c r="E33" i="5"/>
  <c r="E57" i="4"/>
  <c r="E60" i="4"/>
  <c r="E59" i="4"/>
  <c r="C66" i="5"/>
  <c r="C63" i="5"/>
  <c r="C58" i="5"/>
  <c r="C70" i="6"/>
  <c r="C67" i="6"/>
  <c r="C62" i="6"/>
  <c r="C55" i="7"/>
  <c r="C52" i="7"/>
  <c r="C47" i="7"/>
  <c r="C30" i="8"/>
  <c r="C27" i="8"/>
  <c r="C22" i="8"/>
  <c r="C57" i="9"/>
  <c r="C54" i="9"/>
  <c r="C49" i="9"/>
  <c r="C69" i="10"/>
  <c r="C66" i="10"/>
  <c r="C61" i="10"/>
  <c r="C70" i="11"/>
  <c r="C67" i="11"/>
  <c r="C62" i="11"/>
  <c r="C72" i="4"/>
  <c r="C69" i="4"/>
  <c r="C64" i="4"/>
  <c r="C39" i="3"/>
  <c r="C36" i="3"/>
  <c r="C31" i="3"/>
  <c r="A36" i="2"/>
  <c r="A61" i="5" s="1"/>
  <c r="P10" i="5" s="1"/>
  <c r="N47" i="5" l="1"/>
  <c r="L47" i="5"/>
  <c r="M47" i="5"/>
  <c r="O47" i="5"/>
  <c r="P15" i="5"/>
  <c r="P16" i="5"/>
  <c r="K15" i="5"/>
  <c r="E42" i="6"/>
  <c r="E44" i="5"/>
  <c r="E43" i="5"/>
  <c r="E42" i="5"/>
  <c r="A34" i="3"/>
  <c r="P10" i="3" s="1"/>
  <c r="A64" i="10"/>
  <c r="P10" i="10" s="1"/>
  <c r="A25" i="8"/>
  <c r="P10" i="8" s="1"/>
  <c r="A65" i="6"/>
  <c r="P10" i="6" s="1"/>
  <c r="A67" i="4"/>
  <c r="P10" i="4" s="1"/>
  <c r="A65" i="11"/>
  <c r="P10" i="11" s="1"/>
  <c r="A52" i="9"/>
  <c r="P10" i="9" s="1"/>
  <c r="A50" i="7"/>
  <c r="P10" i="7" s="1"/>
  <c r="D9" i="2"/>
  <c r="D8" i="2"/>
  <c r="D7" i="2"/>
  <c r="D6" i="2"/>
  <c r="P47" i="5" l="1"/>
  <c r="E45" i="5"/>
  <c r="N45" i="5" s="1"/>
  <c r="E46" i="5"/>
  <c r="N46" i="5" s="1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H20" i="6"/>
  <c r="H20" i="7"/>
  <c r="H36" i="10"/>
  <c r="J36" i="10" s="1"/>
  <c r="H14" i="10"/>
  <c r="L28" i="6"/>
  <c r="L32" i="6"/>
  <c r="L52" i="6"/>
  <c r="L56" i="6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14" i="4"/>
  <c r="C23" i="2"/>
  <c r="C22" i="2"/>
  <c r="C21" i="2"/>
  <c r="C20" i="2"/>
  <c r="C19" i="2"/>
  <c r="C18" i="2"/>
  <c r="C17" i="2"/>
  <c r="C16" i="2"/>
  <c r="C15" i="2"/>
  <c r="H19" i="6"/>
  <c r="L46" i="5"/>
  <c r="H46" i="5"/>
  <c r="L45" i="5"/>
  <c r="H45" i="5"/>
  <c r="L44" i="5"/>
  <c r="O44" i="5"/>
  <c r="L43" i="5"/>
  <c r="H43" i="5"/>
  <c r="N42" i="5"/>
  <c r="L42" i="5"/>
  <c r="H42" i="5"/>
  <c r="M42" i="5" s="1"/>
  <c r="L41" i="5"/>
  <c r="L40" i="5"/>
  <c r="O40" i="5"/>
  <c r="L39" i="5"/>
  <c r="N38" i="5"/>
  <c r="L38" i="5"/>
  <c r="M38" i="5"/>
  <c r="L37" i="5"/>
  <c r="L36" i="5"/>
  <c r="O36" i="5"/>
  <c r="L35" i="5"/>
  <c r="N34" i="5"/>
  <c r="L34" i="5"/>
  <c r="M34" i="5"/>
  <c r="L33" i="5"/>
  <c r="H33" i="5"/>
  <c r="L32" i="5"/>
  <c r="O32" i="5"/>
  <c r="L31" i="5"/>
  <c r="N30" i="5"/>
  <c r="L30" i="5"/>
  <c r="H30" i="5"/>
  <c r="L29" i="5"/>
  <c r="H29" i="5"/>
  <c r="L28" i="5"/>
  <c r="H28" i="5"/>
  <c r="O28" i="5" s="1"/>
  <c r="L27" i="5"/>
  <c r="N26" i="5"/>
  <c r="L26" i="5"/>
  <c r="M26" i="5"/>
  <c r="L25" i="5"/>
  <c r="H25" i="5"/>
  <c r="L24" i="5"/>
  <c r="H24" i="5"/>
  <c r="O24" i="5" s="1"/>
  <c r="L23" i="5"/>
  <c r="N22" i="5"/>
  <c r="L22" i="5"/>
  <c r="M22" i="5"/>
  <c r="L21" i="5"/>
  <c r="L20" i="5"/>
  <c r="H20" i="5"/>
  <c r="O20" i="5" s="1"/>
  <c r="L19" i="5"/>
  <c r="H19" i="5"/>
  <c r="N18" i="5"/>
  <c r="L18" i="5"/>
  <c r="M18" i="5"/>
  <c r="L17" i="5"/>
  <c r="N14" i="5"/>
  <c r="L14" i="5"/>
  <c r="H14" i="5"/>
  <c r="M14" i="5" s="1"/>
  <c r="N60" i="4"/>
  <c r="L60" i="4"/>
  <c r="H60" i="4"/>
  <c r="L59" i="4"/>
  <c r="H59" i="4"/>
  <c r="L58" i="4"/>
  <c r="L57" i="4"/>
  <c r="O57" i="4"/>
  <c r="N56" i="4"/>
  <c r="L56" i="4"/>
  <c r="L55" i="4"/>
  <c r="L54" i="4"/>
  <c r="L53" i="4"/>
  <c r="N52" i="4"/>
  <c r="L52" i="4"/>
  <c r="L51" i="4"/>
  <c r="L50" i="4"/>
  <c r="L49" i="4"/>
  <c r="N48" i="4"/>
  <c r="L48" i="4"/>
  <c r="L47" i="4"/>
  <c r="L46" i="4"/>
  <c r="L45" i="4"/>
  <c r="N44" i="4"/>
  <c r="L44" i="4"/>
  <c r="L43" i="4"/>
  <c r="L42" i="4"/>
  <c r="M42" i="4"/>
  <c r="L41" i="4"/>
  <c r="H41" i="4"/>
  <c r="N40" i="4"/>
  <c r="L40" i="4"/>
  <c r="H40" i="4"/>
  <c r="L39" i="4"/>
  <c r="H39" i="4"/>
  <c r="L38" i="4"/>
  <c r="M38" i="4"/>
  <c r="L37" i="4"/>
  <c r="H37" i="4"/>
  <c r="N36" i="4"/>
  <c r="L36" i="4"/>
  <c r="L35" i="4"/>
  <c r="L34" i="4"/>
  <c r="L33" i="4"/>
  <c r="M33" i="4"/>
  <c r="N32" i="4"/>
  <c r="L32" i="4"/>
  <c r="H32" i="4"/>
  <c r="L31" i="4"/>
  <c r="L30" i="4"/>
  <c r="L29" i="4"/>
  <c r="M29" i="4"/>
  <c r="N28" i="4"/>
  <c r="L28" i="4"/>
  <c r="L27" i="4"/>
  <c r="L26" i="4"/>
  <c r="L25" i="4"/>
  <c r="N24" i="4"/>
  <c r="L24" i="4"/>
  <c r="L23" i="4"/>
  <c r="L22" i="4"/>
  <c r="M22" i="4"/>
  <c r="L21" i="4"/>
  <c r="N20" i="4"/>
  <c r="L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L14" i="4"/>
  <c r="O14" i="4"/>
  <c r="L44" i="11" l="1"/>
  <c r="L35" i="11"/>
  <c r="L56" i="10"/>
  <c r="L52" i="10"/>
  <c r="L48" i="10"/>
  <c r="L44" i="10"/>
  <c r="L40" i="10"/>
  <c r="L36" i="10"/>
  <c r="L32" i="10"/>
  <c r="L28" i="10"/>
  <c r="N56" i="11"/>
  <c r="N51" i="11"/>
  <c r="N48" i="11"/>
  <c r="N44" i="11"/>
  <c r="N40" i="11"/>
  <c r="N35" i="11"/>
  <c r="N31" i="11"/>
  <c r="N27" i="11"/>
  <c r="N21" i="10"/>
  <c r="N17" i="10"/>
  <c r="O40" i="10"/>
  <c r="O56" i="10"/>
  <c r="O32" i="6"/>
  <c r="O32" i="10"/>
  <c r="O48" i="10"/>
  <c r="O56" i="6"/>
  <c r="O44" i="6"/>
  <c r="O40" i="6"/>
  <c r="O36" i="6"/>
  <c r="L24" i="10"/>
  <c r="L20" i="10"/>
  <c r="L16" i="10"/>
  <c r="L22" i="9"/>
  <c r="L18" i="9"/>
  <c r="L16" i="8"/>
  <c r="L22" i="7"/>
  <c r="L18" i="7"/>
  <c r="L24" i="6"/>
  <c r="L20" i="6"/>
  <c r="L16" i="6"/>
  <c r="N56" i="10"/>
  <c r="N52" i="10"/>
  <c r="N48" i="10"/>
  <c r="N44" i="10"/>
  <c r="N40" i="10"/>
  <c r="N36" i="10"/>
  <c r="N32" i="10"/>
  <c r="N28" i="10"/>
  <c r="N52" i="6"/>
  <c r="N48" i="6"/>
  <c r="L48" i="11"/>
  <c r="L40" i="11"/>
  <c r="N14" i="8"/>
  <c r="M18" i="9"/>
  <c r="O22" i="9"/>
  <c r="N24" i="10"/>
  <c r="N20" i="10"/>
  <c r="N16" i="10"/>
  <c r="N22" i="9"/>
  <c r="N18" i="9"/>
  <c r="N16" i="8"/>
  <c r="N22" i="7"/>
  <c r="N18" i="7"/>
  <c r="N24" i="6"/>
  <c r="N20" i="6"/>
  <c r="N16" i="6"/>
  <c r="L54" i="10"/>
  <c r="L50" i="10"/>
  <c r="L46" i="10"/>
  <c r="L42" i="10"/>
  <c r="L38" i="10"/>
  <c r="L34" i="10"/>
  <c r="L30" i="10"/>
  <c r="L26" i="10"/>
  <c r="L32" i="9"/>
  <c r="K42" i="11"/>
  <c r="N19" i="10"/>
  <c r="L45" i="10"/>
  <c r="L44" i="9"/>
  <c r="L40" i="9"/>
  <c r="N28" i="9"/>
  <c r="N56" i="6"/>
  <c r="L48" i="6"/>
  <c r="N32" i="6"/>
  <c r="N28" i="6"/>
  <c r="K24" i="7"/>
  <c r="N44" i="6"/>
  <c r="L44" i="6"/>
  <c r="N40" i="6"/>
  <c r="L40" i="6"/>
  <c r="N36" i="6"/>
  <c r="L36" i="6"/>
  <c r="O48" i="6"/>
  <c r="O52" i="6"/>
  <c r="N55" i="11"/>
  <c r="L55" i="11"/>
  <c r="N50" i="11"/>
  <c r="L50" i="11"/>
  <c r="N47" i="11"/>
  <c r="L47" i="11"/>
  <c r="N43" i="11"/>
  <c r="L43" i="11"/>
  <c r="N39" i="11"/>
  <c r="L39" i="11"/>
  <c r="L34" i="11"/>
  <c r="N34" i="11"/>
  <c r="N30" i="11"/>
  <c r="L30" i="11"/>
  <c r="N26" i="11"/>
  <c r="L26" i="11"/>
  <c r="N42" i="9"/>
  <c r="L42" i="9"/>
  <c r="L38" i="9"/>
  <c r="N38" i="9"/>
  <c r="N34" i="9"/>
  <c r="L34" i="9"/>
  <c r="N30" i="9"/>
  <c r="L30" i="9"/>
  <c r="L26" i="9"/>
  <c r="N26" i="9"/>
  <c r="L31" i="11"/>
  <c r="O27" i="11"/>
  <c r="L27" i="11"/>
  <c r="O34" i="11"/>
  <c r="O39" i="11"/>
  <c r="O47" i="11"/>
  <c r="O55" i="11"/>
  <c r="M34" i="9"/>
  <c r="O30" i="11"/>
  <c r="O43" i="11"/>
  <c r="O50" i="11"/>
  <c r="M26" i="9"/>
  <c r="O42" i="9"/>
  <c r="L22" i="10"/>
  <c r="L18" i="10"/>
  <c r="N24" i="9"/>
  <c r="L20" i="9"/>
  <c r="N16" i="9"/>
  <c r="L42" i="7"/>
  <c r="N42" i="7"/>
  <c r="N38" i="7"/>
  <c r="L38" i="7"/>
  <c r="L34" i="7"/>
  <c r="N34" i="7"/>
  <c r="L30" i="7"/>
  <c r="N30" i="7"/>
  <c r="L26" i="7"/>
  <c r="N26" i="7"/>
  <c r="K36" i="7"/>
  <c r="L56" i="11"/>
  <c r="O56" i="11"/>
  <c r="L51" i="11"/>
  <c r="L57" i="10"/>
  <c r="K57" i="10"/>
  <c r="L53" i="10"/>
  <c r="M53" i="10"/>
  <c r="L41" i="10"/>
  <c r="L37" i="10"/>
  <c r="H37" i="10"/>
  <c r="M37" i="10" s="1"/>
  <c r="L25" i="10"/>
  <c r="L21" i="10"/>
  <c r="L17" i="10"/>
  <c r="O40" i="11"/>
  <c r="L33" i="10"/>
  <c r="O44" i="11"/>
  <c r="O48" i="11"/>
  <c r="L49" i="10"/>
  <c r="K20" i="7"/>
  <c r="K53" i="11"/>
  <c r="K33" i="7"/>
  <c r="O34" i="7"/>
  <c r="O42" i="7"/>
  <c r="M18" i="7"/>
  <c r="N51" i="10"/>
  <c r="N43" i="10"/>
  <c r="N35" i="10"/>
  <c r="N27" i="10"/>
  <c r="N29" i="9"/>
  <c r="N35" i="7"/>
  <c r="M57" i="4"/>
  <c r="P57" i="4" s="1"/>
  <c r="L14" i="11"/>
  <c r="H14" i="11"/>
  <c r="M14" i="11" s="1"/>
  <c r="K15" i="10"/>
  <c r="K41" i="9"/>
  <c r="K31" i="10"/>
  <c r="K39" i="10"/>
  <c r="K47" i="10"/>
  <c r="K55" i="10"/>
  <c r="K28" i="7"/>
  <c r="K32" i="7"/>
  <c r="L55" i="10"/>
  <c r="L47" i="10"/>
  <c r="L39" i="10"/>
  <c r="L31" i="10"/>
  <c r="L23" i="10"/>
  <c r="L15" i="10"/>
  <c r="M24" i="4"/>
  <c r="M44" i="4"/>
  <c r="O44" i="4"/>
  <c r="O53" i="4"/>
  <c r="M15" i="4"/>
  <c r="O15" i="4"/>
  <c r="O25" i="4"/>
  <c r="M27" i="4"/>
  <c r="O27" i="4"/>
  <c r="M36" i="4"/>
  <c r="O36" i="4"/>
  <c r="O46" i="4"/>
  <c r="M55" i="4"/>
  <c r="O55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P42" i="4" s="1"/>
  <c r="M46" i="4"/>
  <c r="O49" i="4"/>
  <c r="O50" i="4"/>
  <c r="M51" i="4"/>
  <c r="O51" i="4"/>
  <c r="M52" i="4"/>
  <c r="O58" i="4"/>
  <c r="M59" i="4"/>
  <c r="O59" i="4"/>
  <c r="M60" i="4"/>
  <c r="O23" i="5"/>
  <c r="M25" i="5"/>
  <c r="O25" i="5"/>
  <c r="O26" i="5"/>
  <c r="P26" i="5" s="1"/>
  <c r="O39" i="5"/>
  <c r="M41" i="5"/>
  <c r="O41" i="5"/>
  <c r="O42" i="5"/>
  <c r="P42" i="5" s="1"/>
  <c r="O27" i="5"/>
  <c r="M29" i="5"/>
  <c r="O29" i="5"/>
  <c r="O30" i="5"/>
  <c r="O43" i="5"/>
  <c r="M45" i="5"/>
  <c r="P45" i="5" s="1"/>
  <c r="O45" i="5"/>
  <c r="O46" i="5"/>
  <c r="M23" i="4"/>
  <c r="O23" i="4"/>
  <c r="M43" i="4"/>
  <c r="O43" i="4"/>
  <c r="M16" i="4"/>
  <c r="O16" i="4"/>
  <c r="O26" i="4"/>
  <c r="O37" i="4"/>
  <c r="O45" i="4"/>
  <c r="O54" i="4"/>
  <c r="M56" i="4"/>
  <c r="O56" i="4"/>
  <c r="M17" i="5"/>
  <c r="O17" i="5"/>
  <c r="O18" i="5"/>
  <c r="P18" i="5" s="1"/>
  <c r="O31" i="5"/>
  <c r="M33" i="5"/>
  <c r="O33" i="5"/>
  <c r="O34" i="5"/>
  <c r="P34" i="5" s="1"/>
  <c r="O34" i="4"/>
  <c r="O17" i="4"/>
  <c r="P17" i="4" s="1"/>
  <c r="M28" i="4"/>
  <c r="O28" i="4"/>
  <c r="M35" i="4"/>
  <c r="O35" i="4"/>
  <c r="P35" i="4" s="1"/>
  <c r="O38" i="4"/>
  <c r="P38" i="4" s="1"/>
  <c r="O18" i="4"/>
  <c r="P18" i="4" s="1"/>
  <c r="O29" i="4"/>
  <c r="M34" i="4"/>
  <c r="M39" i="4"/>
  <c r="O39" i="4"/>
  <c r="M40" i="4"/>
  <c r="M47" i="4"/>
  <c r="O47" i="4"/>
  <c r="M48" i="4"/>
  <c r="M53" i="4"/>
  <c r="P53" i="4" s="1"/>
  <c r="K57" i="4"/>
  <c r="O19" i="5"/>
  <c r="M21" i="5"/>
  <c r="O21" i="5"/>
  <c r="O22" i="5"/>
  <c r="M30" i="5"/>
  <c r="O35" i="5"/>
  <c r="M37" i="5"/>
  <c r="O37" i="5"/>
  <c r="O38" i="5"/>
  <c r="P38" i="5" s="1"/>
  <c r="M46" i="5"/>
  <c r="K37" i="9"/>
  <c r="O38" i="7"/>
  <c r="M38" i="7"/>
  <c r="K33" i="11"/>
  <c r="K45" i="11"/>
  <c r="M29" i="10"/>
  <c r="O29" i="10"/>
  <c r="K49" i="10"/>
  <c r="K28" i="9"/>
  <c r="M38" i="9"/>
  <c r="O38" i="9"/>
  <c r="O41" i="11"/>
  <c r="M48" i="11"/>
  <c r="K58" i="11"/>
  <c r="M20" i="10"/>
  <c r="K23" i="10"/>
  <c r="M28" i="10"/>
  <c r="K28" i="10"/>
  <c r="M36" i="10"/>
  <c r="O36" i="10"/>
  <c r="M44" i="10"/>
  <c r="M52" i="10"/>
  <c r="O18" i="9"/>
  <c r="K35" i="9"/>
  <c r="K16" i="7"/>
  <c r="O30" i="7"/>
  <c r="M30" i="7"/>
  <c r="K46" i="11"/>
  <c r="M33" i="10"/>
  <c r="M41" i="10"/>
  <c r="M49" i="10"/>
  <c r="M57" i="10"/>
  <c r="K36" i="9"/>
  <c r="K44" i="9"/>
  <c r="K40" i="7"/>
  <c r="K42" i="6"/>
  <c r="K58" i="6"/>
  <c r="K21" i="9"/>
  <c r="M16" i="6"/>
  <c r="K16" i="6"/>
  <c r="K18" i="6"/>
  <c r="O33" i="6"/>
  <c r="O49" i="6"/>
  <c r="K54" i="6"/>
  <c r="O26" i="9"/>
  <c r="M30" i="9"/>
  <c r="O34" i="9"/>
  <c r="K50" i="6"/>
  <c r="K17" i="7"/>
  <c r="M16" i="8"/>
  <c r="K30" i="6"/>
  <c r="K46" i="6"/>
  <c r="K57" i="6"/>
  <c r="N57" i="10"/>
  <c r="N53" i="10"/>
  <c r="N49" i="10"/>
  <c r="O45" i="10"/>
  <c r="N45" i="10"/>
  <c r="N41" i="10"/>
  <c r="N37" i="10"/>
  <c r="N33" i="10"/>
  <c r="N29" i="10"/>
  <c r="L29" i="10"/>
  <c r="N25" i="10"/>
  <c r="M25" i="10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17" i="8"/>
  <c r="L17" i="8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45" i="10"/>
  <c r="M17" i="8"/>
  <c r="M19" i="7"/>
  <c r="M23" i="7"/>
  <c r="M31" i="7"/>
  <c r="M43" i="7"/>
  <c r="M35" i="7"/>
  <c r="M39" i="7"/>
  <c r="O32" i="7"/>
  <c r="L14" i="8"/>
  <c r="M14" i="8"/>
  <c r="K22" i="6"/>
  <c r="K27" i="11"/>
  <c r="K26" i="6"/>
  <c r="K14" i="4"/>
  <c r="K14" i="9"/>
  <c r="O26" i="11"/>
  <c r="O25" i="10"/>
  <c r="O26" i="7"/>
  <c r="O22" i="7"/>
  <c r="O18" i="7"/>
  <c r="O25" i="6"/>
  <c r="O21" i="6"/>
  <c r="O17" i="6"/>
  <c r="O14" i="9"/>
  <c r="O14" i="5"/>
  <c r="P14" i="5" s="1"/>
  <c r="O58" i="11"/>
  <c r="L58" i="11"/>
  <c r="N53" i="11"/>
  <c r="M53" i="11"/>
  <c r="O46" i="11"/>
  <c r="L46" i="11"/>
  <c r="M42" i="11"/>
  <c r="N42" i="11"/>
  <c r="O38" i="11"/>
  <c r="L38" i="11"/>
  <c r="O33" i="11"/>
  <c r="N33" i="11"/>
  <c r="N29" i="11"/>
  <c r="M29" i="11"/>
  <c r="K20" i="9"/>
  <c r="K15" i="8"/>
  <c r="K21" i="6"/>
  <c r="K25" i="10"/>
  <c r="K18" i="7"/>
  <c r="O24" i="10"/>
  <c r="O16" i="10"/>
  <c r="O27" i="9"/>
  <c r="O23" i="9"/>
  <c r="O19" i="9"/>
  <c r="O15" i="9"/>
  <c r="O28" i="6"/>
  <c r="O24" i="6"/>
  <c r="O20" i="6"/>
  <c r="K25" i="6"/>
  <c r="N57" i="11"/>
  <c r="L57" i="11"/>
  <c r="N52" i="11"/>
  <c r="L52" i="11"/>
  <c r="N49" i="11"/>
  <c r="L49" i="11"/>
  <c r="L45" i="11"/>
  <c r="O45" i="11"/>
  <c r="N45" i="11"/>
  <c r="L41" i="11"/>
  <c r="N41" i="11"/>
  <c r="L37" i="11"/>
  <c r="N37" i="11"/>
  <c r="N32" i="11"/>
  <c r="L32" i="11"/>
  <c r="N28" i="11"/>
  <c r="L28" i="11"/>
  <c r="K15" i="9"/>
  <c r="K18" i="8"/>
  <c r="K19" i="9"/>
  <c r="K23" i="9"/>
  <c r="K27" i="9"/>
  <c r="L14" i="7"/>
  <c r="N14" i="7"/>
  <c r="L14" i="10"/>
  <c r="O14" i="10"/>
  <c r="O14" i="6"/>
  <c r="N14" i="6"/>
  <c r="L14" i="6"/>
  <c r="N58" i="11"/>
  <c r="M58" i="11"/>
  <c r="L53" i="11"/>
  <c r="O53" i="11"/>
  <c r="N46" i="11"/>
  <c r="M46" i="11"/>
  <c r="L42" i="11"/>
  <c r="O42" i="11"/>
  <c r="N38" i="11"/>
  <c r="M38" i="11"/>
  <c r="M33" i="11"/>
  <c r="L33" i="11"/>
  <c r="L29" i="11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P22" i="4"/>
  <c r="P33" i="4"/>
  <c r="N14" i="10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15" i="8"/>
  <c r="L15" i="8"/>
  <c r="O15" i="8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K14" i="11"/>
  <c r="M14" i="10"/>
  <c r="M15" i="10"/>
  <c r="M19" i="10"/>
  <c r="M23" i="10"/>
  <c r="M27" i="10"/>
  <c r="M31" i="10"/>
  <c r="M35" i="10"/>
  <c r="M39" i="10"/>
  <c r="M43" i="10"/>
  <c r="M47" i="10"/>
  <c r="M51" i="10"/>
  <c r="M55" i="10"/>
  <c r="M29" i="9"/>
  <c r="M45" i="9"/>
  <c r="M41" i="9"/>
  <c r="M37" i="9"/>
  <c r="M21" i="9"/>
  <c r="M17" i="7"/>
  <c r="O14" i="11"/>
  <c r="K16" i="4"/>
  <c r="M25" i="4"/>
  <c r="M30" i="4"/>
  <c r="K32" i="4"/>
  <c r="M49" i="4"/>
  <c r="M54" i="4"/>
  <c r="P54" i="4" s="1"/>
  <c r="K56" i="4"/>
  <c r="M24" i="5"/>
  <c r="P24" i="5" s="1"/>
  <c r="K24" i="5"/>
  <c r="M40" i="5"/>
  <c r="P40" i="5" s="1"/>
  <c r="K40" i="5"/>
  <c r="M21" i="4"/>
  <c r="M26" i="4"/>
  <c r="M37" i="4"/>
  <c r="M41" i="4"/>
  <c r="P41" i="4" s="1"/>
  <c r="M45" i="4"/>
  <c r="M50" i="4"/>
  <c r="M58" i="4"/>
  <c r="M28" i="5"/>
  <c r="P28" i="5" s="1"/>
  <c r="K28" i="5"/>
  <c r="M44" i="5"/>
  <c r="P44" i="5" s="1"/>
  <c r="K44" i="5"/>
  <c r="M32" i="5"/>
  <c r="P32" i="5" s="1"/>
  <c r="K32" i="5"/>
  <c r="K20" i="4"/>
  <c r="M20" i="5"/>
  <c r="P20" i="5" s="1"/>
  <c r="K20" i="5"/>
  <c r="M36" i="5"/>
  <c r="P36" i="5" s="1"/>
  <c r="K36" i="5"/>
  <c r="K21" i="5"/>
  <c r="K25" i="5"/>
  <c r="K29" i="5"/>
  <c r="K33" i="5"/>
  <c r="K37" i="5"/>
  <c r="K41" i="5"/>
  <c r="K45" i="5"/>
  <c r="K39" i="11"/>
  <c r="M39" i="11"/>
  <c r="P39" i="11" s="1"/>
  <c r="K55" i="11"/>
  <c r="M55" i="11"/>
  <c r="P55" i="11" s="1"/>
  <c r="M27" i="11"/>
  <c r="K34" i="11"/>
  <c r="M34" i="11"/>
  <c r="M44" i="11"/>
  <c r="P44" i="11" s="1"/>
  <c r="K50" i="11"/>
  <c r="M50" i="11"/>
  <c r="K30" i="11"/>
  <c r="M30" i="11"/>
  <c r="M40" i="11"/>
  <c r="K47" i="11"/>
  <c r="M47" i="11"/>
  <c r="M56" i="11"/>
  <c r="K26" i="11"/>
  <c r="M26" i="11"/>
  <c r="K43" i="11"/>
  <c r="M43" i="11"/>
  <c r="M16" i="10"/>
  <c r="K16" i="10"/>
  <c r="M24" i="10"/>
  <c r="K24" i="10"/>
  <c r="M32" i="10"/>
  <c r="K32" i="10"/>
  <c r="M40" i="10"/>
  <c r="K40" i="10"/>
  <c r="M48" i="10"/>
  <c r="P48" i="10" s="1"/>
  <c r="K48" i="10"/>
  <c r="M56" i="10"/>
  <c r="K56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K42" i="9"/>
  <c r="K19" i="10"/>
  <c r="K27" i="10"/>
  <c r="K35" i="10"/>
  <c r="K43" i="10"/>
  <c r="K51" i="10"/>
  <c r="M17" i="9"/>
  <c r="K17" i="9"/>
  <c r="M22" i="9"/>
  <c r="P22" i="9" s="1"/>
  <c r="K22" i="9"/>
  <c r="K45" i="9"/>
  <c r="M25" i="7"/>
  <c r="K25" i="7"/>
  <c r="K34" i="7"/>
  <c r="M34" i="7"/>
  <c r="M15" i="9"/>
  <c r="M31" i="9"/>
  <c r="K41" i="7"/>
  <c r="M41" i="7"/>
  <c r="K23" i="7"/>
  <c r="K35" i="7"/>
  <c r="K43" i="7"/>
  <c r="M20" i="6"/>
  <c r="K20" i="6"/>
  <c r="M28" i="6"/>
  <c r="K28" i="6"/>
  <c r="M36" i="6"/>
  <c r="K36" i="6"/>
  <c r="M44" i="6"/>
  <c r="K44" i="6"/>
  <c r="M52" i="6"/>
  <c r="P52" i="6" s="1"/>
  <c r="K52" i="6"/>
  <c r="M24" i="6"/>
  <c r="K24" i="6"/>
  <c r="M32" i="6"/>
  <c r="K32" i="6"/>
  <c r="M40" i="6"/>
  <c r="K40" i="6"/>
  <c r="M48" i="6"/>
  <c r="K48" i="6"/>
  <c r="M56" i="6"/>
  <c r="P56" i="6" s="1"/>
  <c r="K56" i="6"/>
  <c r="M14" i="4"/>
  <c r="P14" i="4" s="1"/>
  <c r="N55" i="5"/>
  <c r="G17" i="2" s="1"/>
  <c r="P29" i="4"/>
  <c r="N14" i="9"/>
  <c r="L14" i="9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O18" i="8"/>
  <c r="N18" i="8"/>
  <c r="M18" i="8"/>
  <c r="L18" i="8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O58" i="6"/>
  <c r="N58" i="6"/>
  <c r="M58" i="6"/>
  <c r="L58" i="6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24" i="7"/>
  <c r="M20" i="9"/>
  <c r="M24" i="9"/>
  <c r="M44" i="9"/>
  <c r="M18" i="10"/>
  <c r="M22" i="10"/>
  <c r="M26" i="10"/>
  <c r="M30" i="10"/>
  <c r="M34" i="10"/>
  <c r="M38" i="10"/>
  <c r="M42" i="10"/>
  <c r="M46" i="10"/>
  <c r="M50" i="10"/>
  <c r="M54" i="10"/>
  <c r="M32" i="9"/>
  <c r="M36" i="9"/>
  <c r="M40" i="9"/>
  <c r="M16" i="7"/>
  <c r="M20" i="7"/>
  <c r="M32" i="7"/>
  <c r="M36" i="7"/>
  <c r="M28" i="7"/>
  <c r="K14" i="6"/>
  <c r="M14" i="6"/>
  <c r="P14" i="6" s="1"/>
  <c r="M40" i="7"/>
  <c r="L55" i="5"/>
  <c r="I17" i="2" s="1"/>
  <c r="P16" i="4"/>
  <c r="P19" i="4"/>
  <c r="P31" i="4"/>
  <c r="P22" i="5"/>
  <c r="P33" i="5"/>
  <c r="P47" i="4"/>
  <c r="O14" i="7"/>
  <c r="N14" i="11"/>
  <c r="M19" i="5"/>
  <c r="M23" i="5"/>
  <c r="M27" i="5"/>
  <c r="M31" i="5"/>
  <c r="M35" i="5"/>
  <c r="M39" i="5"/>
  <c r="M43" i="5"/>
  <c r="M28" i="11"/>
  <c r="M32" i="11"/>
  <c r="M37" i="11"/>
  <c r="M41" i="11"/>
  <c r="M45" i="11"/>
  <c r="M49" i="11"/>
  <c r="M52" i="11"/>
  <c r="M57" i="11"/>
  <c r="K14" i="10"/>
  <c r="K18" i="10"/>
  <c r="K22" i="10"/>
  <c r="K26" i="10"/>
  <c r="K30" i="10"/>
  <c r="K34" i="10"/>
  <c r="K38" i="10"/>
  <c r="K42" i="10"/>
  <c r="K46" i="10"/>
  <c r="K50" i="10"/>
  <c r="K54" i="10"/>
  <c r="M16" i="9"/>
  <c r="K16" i="9"/>
  <c r="K32" i="9"/>
  <c r="M27" i="9"/>
  <c r="M43" i="9"/>
  <c r="M23" i="9"/>
  <c r="K24" i="9"/>
  <c r="M39" i="9"/>
  <c r="K40" i="9"/>
  <c r="K42" i="7"/>
  <c r="M42" i="7"/>
  <c r="K22" i="7"/>
  <c r="M22" i="7"/>
  <c r="K19" i="7"/>
  <c r="K39" i="7"/>
  <c r="M15" i="8"/>
  <c r="K14" i="7"/>
  <c r="M14" i="7"/>
  <c r="M15" i="7"/>
  <c r="P15" i="7" s="1"/>
  <c r="K15" i="7"/>
  <c r="K26" i="7"/>
  <c r="M26" i="7"/>
  <c r="M27" i="7"/>
  <c r="P27" i="7" s="1"/>
  <c r="K27" i="7"/>
  <c r="M15" i="6"/>
  <c r="K15" i="6"/>
  <c r="M31" i="6"/>
  <c r="K31" i="6"/>
  <c r="M47" i="6"/>
  <c r="K47" i="6"/>
  <c r="M19" i="6"/>
  <c r="K19" i="6"/>
  <c r="M35" i="6"/>
  <c r="K35" i="6"/>
  <c r="M51" i="6"/>
  <c r="K51" i="6"/>
  <c r="M23" i="6"/>
  <c r="K23" i="6"/>
  <c r="M39" i="6"/>
  <c r="K39" i="6"/>
  <c r="M55" i="6"/>
  <c r="K55" i="6"/>
  <c r="M27" i="6"/>
  <c r="K27" i="6"/>
  <c r="M43" i="6"/>
  <c r="K43" i="6"/>
  <c r="N61" i="4"/>
  <c r="G16" i="2" s="1"/>
  <c r="K19" i="4"/>
  <c r="K23" i="4"/>
  <c r="K27" i="4"/>
  <c r="K31" i="4"/>
  <c r="K55" i="4"/>
  <c r="K59" i="4"/>
  <c r="K15" i="4"/>
  <c r="K35" i="4"/>
  <c r="K39" i="4"/>
  <c r="K43" i="4"/>
  <c r="K47" i="4"/>
  <c r="K51" i="4"/>
  <c r="L61" i="4"/>
  <c r="I16" i="2" s="1"/>
  <c r="P51" i="4" l="1"/>
  <c r="P34" i="4"/>
  <c r="P32" i="4"/>
  <c r="P35" i="7"/>
  <c r="P50" i="11"/>
  <c r="P48" i="11"/>
  <c r="P59" i="4"/>
  <c r="P22" i="7"/>
  <c r="P23" i="6"/>
  <c r="P47" i="6"/>
  <c r="P15" i="6"/>
  <c r="P55" i="6"/>
  <c r="P32" i="10"/>
  <c r="P21" i="4"/>
  <c r="P23" i="9"/>
  <c r="P50" i="4"/>
  <c r="P41" i="5"/>
  <c r="P27" i="4"/>
  <c r="P46" i="4"/>
  <c r="P20" i="4"/>
  <c r="P46" i="5"/>
  <c r="P30" i="5"/>
  <c r="P30" i="11"/>
  <c r="P31" i="5"/>
  <c r="P35" i="5"/>
  <c r="P37" i="5"/>
  <c r="P56" i="10"/>
  <c r="P40" i="10"/>
  <c r="P47" i="11"/>
  <c r="P43" i="11"/>
  <c r="P56" i="11"/>
  <c r="P42" i="11"/>
  <c r="P40" i="11"/>
  <c r="P27" i="11"/>
  <c r="P34" i="11"/>
  <c r="P36" i="10"/>
  <c r="P18" i="9"/>
  <c r="P26" i="9"/>
  <c r="P27" i="9"/>
  <c r="P34" i="9"/>
  <c r="P42" i="9"/>
  <c r="P43" i="7"/>
  <c r="P23" i="7"/>
  <c r="P51" i="6"/>
  <c r="P31" i="6"/>
  <c r="P48" i="6"/>
  <c r="P39" i="6"/>
  <c r="P40" i="6"/>
  <c r="P36" i="6"/>
  <c r="P43" i="6"/>
  <c r="P35" i="6"/>
  <c r="P32" i="6"/>
  <c r="P44" i="6"/>
  <c r="P27" i="6"/>
  <c r="P19" i="6"/>
  <c r="P17" i="5"/>
  <c r="P19" i="5"/>
  <c r="P43" i="5"/>
  <c r="P27" i="5"/>
  <c r="P39" i="5"/>
  <c r="P23" i="5"/>
  <c r="P21" i="5"/>
  <c r="P29" i="5"/>
  <c r="P25" i="5"/>
  <c r="P15" i="4"/>
  <c r="P36" i="4"/>
  <c r="P18" i="7"/>
  <c r="P58" i="11"/>
  <c r="P38" i="7"/>
  <c r="P56" i="4"/>
  <c r="P55" i="4"/>
  <c r="P43" i="4"/>
  <c r="P49" i="4"/>
  <c r="P44" i="4"/>
  <c r="P28" i="4"/>
  <c r="P26" i="4"/>
  <c r="P23" i="4"/>
  <c r="P45" i="11"/>
  <c r="P45" i="9"/>
  <c r="P15" i="8"/>
  <c r="P42" i="7"/>
  <c r="P34" i="7"/>
  <c r="P26" i="7"/>
  <c r="P39" i="4"/>
  <c r="P37" i="4"/>
  <c r="P30" i="4"/>
  <c r="P33" i="11"/>
  <c r="P30" i="7"/>
  <c r="P14" i="10"/>
  <c r="P15" i="9"/>
  <c r="P16" i="9"/>
  <c r="P38" i="9"/>
  <c r="P25" i="4"/>
  <c r="P43" i="10"/>
  <c r="P45" i="4"/>
  <c r="P58" i="4"/>
  <c r="K31" i="7"/>
  <c r="O31" i="7"/>
  <c r="P31" i="7" s="1"/>
  <c r="M46" i="9"/>
  <c r="F21" i="2" s="1"/>
  <c r="O21" i="10"/>
  <c r="M21" i="10"/>
  <c r="M31" i="11"/>
  <c r="O31" i="11"/>
  <c r="P51" i="10"/>
  <c r="P21" i="6"/>
  <c r="P25" i="6"/>
  <c r="P39" i="7"/>
  <c r="K34" i="6"/>
  <c r="O34" i="6"/>
  <c r="P34" i="6" s="1"/>
  <c r="K38" i="6"/>
  <c r="O38" i="6"/>
  <c r="P38" i="6" s="1"/>
  <c r="P24" i="6"/>
  <c r="K57" i="11"/>
  <c r="O57" i="11"/>
  <c r="P57" i="11" s="1"/>
  <c r="O24" i="4"/>
  <c r="P24" i="4" s="1"/>
  <c r="K24" i="4"/>
  <c r="O20" i="10"/>
  <c r="P20" i="10" s="1"/>
  <c r="K20" i="10"/>
  <c r="K49" i="11"/>
  <c r="O49" i="11"/>
  <c r="P49" i="11" s="1"/>
  <c r="O14" i="8"/>
  <c r="P14" i="8" s="1"/>
  <c r="M17" i="10"/>
  <c r="P19" i="7"/>
  <c r="P47" i="10"/>
  <c r="K32" i="11"/>
  <c r="O32" i="11"/>
  <c r="P32" i="11" s="1"/>
  <c r="K52" i="11"/>
  <c r="O52" i="11"/>
  <c r="P52" i="11" s="1"/>
  <c r="K29" i="11"/>
  <c r="O29" i="11"/>
  <c r="P29" i="11" s="1"/>
  <c r="K17" i="8"/>
  <c r="O17" i="8"/>
  <c r="P17" i="8" s="1"/>
  <c r="P26" i="11"/>
  <c r="P28" i="6"/>
  <c r="P36" i="9"/>
  <c r="P44" i="9"/>
  <c r="O16" i="6"/>
  <c r="P16" i="6" s="1"/>
  <c r="N59" i="6"/>
  <c r="G18" i="2" s="1"/>
  <c r="K29" i="9"/>
  <c r="O29" i="9"/>
  <c r="P29" i="9" s="1"/>
  <c r="K28" i="11"/>
  <c r="O28" i="11"/>
  <c r="P28" i="11" s="1"/>
  <c r="O28" i="10"/>
  <c r="P28" i="10" s="1"/>
  <c r="M35" i="11"/>
  <c r="O35" i="11"/>
  <c r="O37" i="10"/>
  <c r="P37" i="10" s="1"/>
  <c r="O53" i="10"/>
  <c r="P53" i="10" s="1"/>
  <c r="O51" i="11"/>
  <c r="M51" i="11"/>
  <c r="O37" i="11"/>
  <c r="P37" i="11" s="1"/>
  <c r="O49" i="10"/>
  <c r="P49" i="10" s="1"/>
  <c r="K44" i="4"/>
  <c r="K45" i="10"/>
  <c r="L59" i="6"/>
  <c r="I18" i="2" s="1"/>
  <c r="P20" i="9"/>
  <c r="N59" i="11"/>
  <c r="G23" i="2" s="1"/>
  <c r="P17" i="9"/>
  <c r="P16" i="10"/>
  <c r="P25" i="9"/>
  <c r="P25" i="10"/>
  <c r="P29" i="10"/>
  <c r="K45" i="6"/>
  <c r="O45" i="6"/>
  <c r="P45" i="6" s="1"/>
  <c r="K29" i="10"/>
  <c r="O57" i="10"/>
  <c r="P57" i="10" s="1"/>
  <c r="P33" i="7"/>
  <c r="P37" i="7"/>
  <c r="P31" i="10"/>
  <c r="P15" i="10"/>
  <c r="K37" i="6"/>
  <c r="O37" i="6"/>
  <c r="P37" i="6" s="1"/>
  <c r="P26" i="6"/>
  <c r="P32" i="7"/>
  <c r="P58" i="6"/>
  <c r="O16" i="8"/>
  <c r="P16" i="8" s="1"/>
  <c r="K16" i="8"/>
  <c r="K31" i="9"/>
  <c r="O31" i="9"/>
  <c r="P31" i="9" s="1"/>
  <c r="K33" i="10"/>
  <c r="O33" i="10"/>
  <c r="P33" i="10" s="1"/>
  <c r="K43" i="9"/>
  <c r="O43" i="9"/>
  <c r="P43" i="9" s="1"/>
  <c r="K36" i="10"/>
  <c r="P24" i="9"/>
  <c r="P32" i="9"/>
  <c r="P42" i="6"/>
  <c r="P46" i="6"/>
  <c r="P30" i="6"/>
  <c r="O35" i="9"/>
  <c r="P35" i="9" s="1"/>
  <c r="P19" i="9"/>
  <c r="P19" i="10"/>
  <c r="P35" i="10"/>
  <c r="K39" i="9"/>
  <c r="O39" i="9"/>
  <c r="P39" i="9" s="1"/>
  <c r="K41" i="6"/>
  <c r="O41" i="6"/>
  <c r="P41" i="6" s="1"/>
  <c r="K29" i="6"/>
  <c r="O29" i="6"/>
  <c r="P29" i="6" s="1"/>
  <c r="K53" i="6"/>
  <c r="O53" i="6"/>
  <c r="P53" i="6" s="1"/>
  <c r="K41" i="10"/>
  <c r="O41" i="10"/>
  <c r="P41" i="10" s="1"/>
  <c r="K34" i="5"/>
  <c r="K31" i="5"/>
  <c r="K45" i="4"/>
  <c r="K28" i="4"/>
  <c r="O57" i="6"/>
  <c r="P57" i="6" s="1"/>
  <c r="K26" i="4"/>
  <c r="K49" i="4"/>
  <c r="K50" i="4"/>
  <c r="K40" i="11"/>
  <c r="P38" i="11"/>
  <c r="K58" i="4"/>
  <c r="K26" i="5"/>
  <c r="K23" i="5"/>
  <c r="P24" i="7"/>
  <c r="P18" i="6"/>
  <c r="P50" i="6"/>
  <c r="N44" i="7"/>
  <c r="G19" i="2" s="1"/>
  <c r="L44" i="7"/>
  <c r="I19" i="2" s="1"/>
  <c r="N19" i="8"/>
  <c r="G20" i="2" s="1"/>
  <c r="P28" i="9"/>
  <c r="L46" i="9"/>
  <c r="I21" i="2" s="1"/>
  <c r="P17" i="7"/>
  <c r="P21" i="7"/>
  <c r="P55" i="10"/>
  <c r="P39" i="10"/>
  <c r="P23" i="10"/>
  <c r="L58" i="10"/>
  <c r="I22" i="2" s="1"/>
  <c r="P14" i="9"/>
  <c r="P46" i="11"/>
  <c r="P20" i="6"/>
  <c r="P53" i="11"/>
  <c r="P49" i="6"/>
  <c r="K18" i="9"/>
  <c r="K31" i="11"/>
  <c r="K38" i="7"/>
  <c r="P41" i="7"/>
  <c r="P45" i="10"/>
  <c r="K46" i="5"/>
  <c r="K43" i="5"/>
  <c r="P33" i="6"/>
  <c r="P50" i="10"/>
  <c r="P17" i="6"/>
  <c r="K49" i="6"/>
  <c r="K33" i="6"/>
  <c r="K38" i="9"/>
  <c r="K52" i="10"/>
  <c r="O52" i="10"/>
  <c r="P52" i="10" s="1"/>
  <c r="K41" i="11"/>
  <c r="K35" i="11"/>
  <c r="K44" i="11"/>
  <c r="K22" i="5"/>
  <c r="K19" i="5"/>
  <c r="K18" i="4"/>
  <c r="K17" i="4"/>
  <c r="K34" i="4"/>
  <c r="K42" i="5"/>
  <c r="K39" i="5"/>
  <c r="O60" i="4"/>
  <c r="P60" i="4" s="1"/>
  <c r="K60" i="4"/>
  <c r="K42" i="4"/>
  <c r="K33" i="4"/>
  <c r="K22" i="4"/>
  <c r="K46" i="4"/>
  <c r="K53" i="4"/>
  <c r="P41" i="11"/>
  <c r="K30" i="7"/>
  <c r="K56" i="11"/>
  <c r="K48" i="11"/>
  <c r="K38" i="5"/>
  <c r="K35" i="5"/>
  <c r="K29" i="4"/>
  <c r="K18" i="5"/>
  <c r="K54" i="4"/>
  <c r="K37" i="4"/>
  <c r="K30" i="5"/>
  <c r="K27" i="5"/>
  <c r="N46" i="9"/>
  <c r="G21" i="2" s="1"/>
  <c r="P36" i="7"/>
  <c r="P24" i="10"/>
  <c r="K34" i="9"/>
  <c r="K26" i="9"/>
  <c r="K44" i="10"/>
  <c r="O44" i="10"/>
  <c r="K52" i="4"/>
  <c r="O52" i="4"/>
  <c r="P52" i="4" s="1"/>
  <c r="K41" i="4"/>
  <c r="K30" i="4"/>
  <c r="K21" i="4"/>
  <c r="K25" i="4"/>
  <c r="O30" i="9"/>
  <c r="K30" i="9"/>
  <c r="O48" i="4"/>
  <c r="P48" i="4" s="1"/>
  <c r="K48" i="4"/>
  <c r="O40" i="4"/>
  <c r="K40" i="4"/>
  <c r="P33" i="9"/>
  <c r="P21" i="9"/>
  <c r="K14" i="5"/>
  <c r="N58" i="10"/>
  <c r="G22" i="2" s="1"/>
  <c r="P29" i="7"/>
  <c r="P37" i="9"/>
  <c r="P27" i="10"/>
  <c r="L19" i="8"/>
  <c r="I20" i="2" s="1"/>
  <c r="P46" i="10"/>
  <c r="P54" i="10"/>
  <c r="P25" i="7"/>
  <c r="P41" i="9"/>
  <c r="P16" i="7"/>
  <c r="P30" i="10"/>
  <c r="P38" i="10"/>
  <c r="P22" i="10"/>
  <c r="P40" i="9"/>
  <c r="P34" i="10"/>
  <c r="P18" i="10"/>
  <c r="L59" i="11"/>
  <c r="I23" i="2" s="1"/>
  <c r="P40" i="7"/>
  <c r="P20" i="7"/>
  <c r="P42" i="10"/>
  <c r="P26" i="10"/>
  <c r="P18" i="8"/>
  <c r="P54" i="6"/>
  <c r="P22" i="6"/>
  <c r="P28" i="7"/>
  <c r="P14" i="11"/>
  <c r="M44" i="7"/>
  <c r="F19" i="2" s="1"/>
  <c r="P14" i="7"/>
  <c r="M59" i="6"/>
  <c r="F18" i="2" s="1"/>
  <c r="M55" i="5"/>
  <c r="F17" i="2" s="1"/>
  <c r="M19" i="8"/>
  <c r="F20" i="2" s="1"/>
  <c r="M61" i="4"/>
  <c r="F16" i="2" s="1"/>
  <c r="M58" i="10" l="1"/>
  <c r="F22" i="2" s="1"/>
  <c r="P21" i="10"/>
  <c r="K21" i="10"/>
  <c r="P31" i="11"/>
  <c r="K51" i="11"/>
  <c r="K14" i="8"/>
  <c r="O17" i="10"/>
  <c r="P17" i="10" s="1"/>
  <c r="K17" i="10"/>
  <c r="M59" i="11"/>
  <c r="F23" i="2" s="1"/>
  <c r="K53" i="10"/>
  <c r="P35" i="11"/>
  <c r="P51" i="11"/>
  <c r="K37" i="10"/>
  <c r="O44" i="7"/>
  <c r="H19" i="2" s="1"/>
  <c r="P40" i="4"/>
  <c r="P61" i="4" s="1"/>
  <c r="E16" i="2" s="1"/>
  <c r="O61" i="4"/>
  <c r="H16" i="2" s="1"/>
  <c r="P44" i="10"/>
  <c r="P30" i="9"/>
  <c r="O19" i="8"/>
  <c r="H20" i="2" s="1"/>
  <c r="P19" i="8"/>
  <c r="N9" i="8" s="1"/>
  <c r="O59" i="6"/>
  <c r="H18" i="2" s="1"/>
  <c r="O55" i="5"/>
  <c r="H17" i="2" s="1"/>
  <c r="P55" i="5"/>
  <c r="E17" i="2" s="1"/>
  <c r="P44" i="7"/>
  <c r="E19" i="2" s="1"/>
  <c r="P59" i="6"/>
  <c r="N9" i="6" s="1"/>
  <c r="P58" i="10" l="1"/>
  <c r="E22" i="2" s="1"/>
  <c r="O58" i="10"/>
  <c r="H22" i="2" s="1"/>
  <c r="N9" i="4"/>
  <c r="O46" i="9"/>
  <c r="H21" i="2" s="1"/>
  <c r="O59" i="11"/>
  <c r="H23" i="2" s="1"/>
  <c r="P46" i="9"/>
  <c r="N9" i="9" s="1"/>
  <c r="E18" i="2"/>
  <c r="N9" i="5"/>
  <c r="P59" i="11"/>
  <c r="E23" i="2" s="1"/>
  <c r="N9" i="7"/>
  <c r="E20" i="2"/>
  <c r="N9" i="10" l="1"/>
  <c r="E21" i="2"/>
  <c r="N9" i="11"/>
  <c r="H14" i="3" l="1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O14" i="3"/>
  <c r="P14" i="3" s="1"/>
  <c r="M18" i="3"/>
  <c r="M22" i="3"/>
  <c r="M26" i="3"/>
  <c r="L28" i="3"/>
  <c r="M15" i="3"/>
  <c r="M19" i="3"/>
  <c r="M23" i="3"/>
  <c r="M27" i="3"/>
  <c r="N28" i="3"/>
  <c r="P16" i="3" l="1"/>
  <c r="P26" i="3"/>
  <c r="P18" i="3"/>
  <c r="P21" i="3"/>
  <c r="P22" i="3"/>
  <c r="P25" i="3"/>
  <c r="P20" i="3"/>
  <c r="P17" i="3"/>
  <c r="K20" i="3"/>
  <c r="P24" i="3"/>
  <c r="K17" i="3"/>
  <c r="K25" i="3"/>
  <c r="P15" i="3"/>
  <c r="P23" i="3"/>
  <c r="P27" i="3"/>
  <c r="P19" i="3"/>
  <c r="G15" i="2"/>
  <c r="K21" i="3"/>
  <c r="K16" i="3"/>
  <c r="K24" i="3"/>
  <c r="K27" i="3"/>
  <c r="K23" i="3"/>
  <c r="K19" i="3"/>
  <c r="K15" i="3"/>
  <c r="K26" i="3"/>
  <c r="K22" i="3"/>
  <c r="K18" i="3"/>
  <c r="K14" i="3"/>
  <c r="I15" i="2"/>
  <c r="M28" i="3"/>
  <c r="P28" i="3" l="1"/>
  <c r="O28" i="3"/>
  <c r="F15" i="2"/>
  <c r="H15" i="2" l="1"/>
  <c r="N9" i="3"/>
  <c r="E15" i="2"/>
  <c r="A19" i="2" l="1"/>
  <c r="A17" i="2"/>
  <c r="A20" i="2"/>
  <c r="A18" i="2"/>
  <c r="A21" i="2"/>
  <c r="A23" i="2"/>
  <c r="A22" i="2"/>
  <c r="A15" i="2"/>
  <c r="B15" i="2" s="1"/>
  <c r="A16" i="2"/>
  <c r="I24" i="2"/>
  <c r="H24" i="2"/>
  <c r="G24" i="2"/>
  <c r="F24" i="2"/>
  <c r="E24" i="2"/>
  <c r="E27" i="2" s="1"/>
  <c r="B20" i="2" l="1"/>
  <c r="D1" i="8"/>
  <c r="D1" i="6"/>
  <c r="B18" i="2"/>
  <c r="B22" i="2"/>
  <c r="D1" i="10"/>
  <c r="B23" i="2"/>
  <c r="D1" i="11"/>
  <c r="B17" i="2"/>
  <c r="D1" i="5"/>
  <c r="D1" i="9"/>
  <c r="B21" i="2"/>
  <c r="B19" i="2"/>
  <c r="D1" i="7"/>
  <c r="D1" i="3"/>
  <c r="D1" i="4"/>
  <c r="B16" i="2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<sst xmlns="http://schemas.openxmlformats.org/spreadsheetml/2006/main" count="1154" uniqueCount="372">
  <si>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</si>
  <si>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</si>
  <si>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</si>
  <si>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</si>
  <si>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</si>
  <si>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</si>
  <si>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</si>
  <si>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</si>
  <si>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</si>
  <si>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</si>
  <si>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</si>
  <si>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</si>
  <si>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</si>
  <si>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</si>
  <si>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</si>
  <si>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</si>
  <si>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</si>
  <si>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</si>
  <si>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</si>
  <si>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</si>
  <si>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</si>
  <si>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</si>
  <si>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</si>
  <si>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</si>
  <si>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</si>
  <si>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</si>
  <si>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</si>
  <si>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</si>
  <si>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</si>
  <si>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</si>
  <si>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</si>
  <si>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</si>
  <si>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</si>
  <si>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</si>
  <si>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</si>
  <si>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</si>
  <si>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</si>
  <si>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</si>
  <si>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</si>
  <si>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</si>
  <si>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</si>
  <si>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</si>
  <si>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</si>
  <si>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</si>
  <si>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</si>
  <si>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</si>
  <si>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</si>
  <si>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</si>
  <si>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</si>
  <si>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</si>
  <si>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</si>
  <si>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</si>
  <si>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</si>
  <si>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</si>
  <si>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</si>
  <si>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Būvlaukuma sagatavošana (skatīt DOP-2)</t>
  </si>
  <si>
    <t>Inventārā žoga montāža-demontāža, vārtu izveidošana</t>
  </si>
  <si>
    <t>m</t>
  </si>
  <si>
    <t>Žoga nomas izmaksas</t>
  </si>
  <si>
    <t>mēn.</t>
  </si>
  <si>
    <t>Sadzīves telpu piegāde un pieslēgums komunikācijām, aizvesšana pēc būvdarbu veikšanas</t>
  </si>
  <si>
    <t>k-ts</t>
  </si>
  <si>
    <t>Strādnieku vagoniņa nomas izmaksas</t>
  </si>
  <si>
    <t>Noliktava konteinera nomas izmaksas</t>
  </si>
  <si>
    <t>Sarga konteinera nomas izmaksas</t>
  </si>
  <si>
    <t>WC apkalpošana un noma</t>
  </si>
  <si>
    <t>Pagaidu nojumes pie ieejām izgatavotas no koka un finiera.</t>
  </si>
  <si>
    <t>k-ti</t>
  </si>
  <si>
    <t>Būvlaukuma apsardze</t>
  </si>
  <si>
    <t>Būvtāfele un tās uzstādīšana</t>
  </si>
  <si>
    <t>Ugunsdzēsēju stends, tā uzstādīšana</t>
  </si>
  <si>
    <t>gab.</t>
  </si>
  <si>
    <t>Pagaidu pieslēgums - elektroapgādei un ūdensapgādei</t>
  </si>
  <si>
    <t>obj.</t>
  </si>
  <si>
    <t>Būvgružu savākšana un izvesšana (10m3 konteineri)</t>
  </si>
  <si>
    <t>reisi</t>
  </si>
  <si>
    <t xml:space="preserve">Tiešās izmaksas kopā, t. sk. darba devēja sociālais nodoklis 24.09% </t>
  </si>
  <si>
    <t>Tāme sastādīta 2020.gada tirgus cenās, pamatojoties uz Inventrizācijas lietu, TAA un Energosertifikātu</t>
  </si>
  <si>
    <t>1</t>
  </si>
  <si>
    <t>02-00000</t>
  </si>
  <si>
    <t>Jumta seguma attīrīšana</t>
  </si>
  <si>
    <t>m2</t>
  </si>
  <si>
    <t>2</t>
  </si>
  <si>
    <t>13-00000</t>
  </si>
  <si>
    <t>Siltumizloācijas ieklāšana, pārklājot šuves, 3 kārtas atbilstoši AR-18</t>
  </si>
  <si>
    <t>m3</t>
  </si>
  <si>
    <t>Dībeļi vates stiprināšanai</t>
  </si>
  <si>
    <t>gab</t>
  </si>
  <si>
    <t>3</t>
  </si>
  <si>
    <t>09-00000</t>
  </si>
  <si>
    <t>Apakšklājs Jumta kausējamais ruļveida materials  Technoelast K-PS170/5000 EKP (virsklājs, ~4.0mm) vai ekvivalents</t>
  </si>
  <si>
    <t>Virsklājs 2.	Jumta kausējamais ruļveida materials Technoelast K-MS170/4000 EPP (apakšklājs, ~3.2mm) vai ekvivalents</t>
  </si>
  <si>
    <t>Gāze</t>
  </si>
  <si>
    <t>Palīgmateriāli</t>
  </si>
  <si>
    <t>4</t>
  </si>
  <si>
    <t>Aeratoru montāža</t>
  </si>
  <si>
    <t>5</t>
  </si>
  <si>
    <t>Pasīvās ventilācijas deflektoru ierīkošana d=150mm</t>
  </si>
  <si>
    <t>6</t>
  </si>
  <si>
    <t>Skārda elemetu ierīkošana</t>
  </si>
  <si>
    <t>Skarda apmale</t>
  </si>
  <si>
    <t>kompl.</t>
  </si>
  <si>
    <t>7</t>
  </si>
  <si>
    <t>Jumta trapu ierīkošana</t>
  </si>
  <si>
    <t>HL jumta noteka DN100 ar lapu ķērāju</t>
  </si>
  <si>
    <t xml:space="preserve"> PLAKANĀ JUMTA REMONTS VIRS IEEJĀM  AR-15</t>
  </si>
  <si>
    <t>Betona jumta laukuma apstrāde ar dziļi impregnējamo hidroizolācijas materiālu Penetron</t>
  </si>
  <si>
    <t>kg</t>
  </si>
  <si>
    <t>Izlīdzinošā cementa javas kartā 30 mm</t>
  </si>
  <si>
    <t>SAKRET MultiMIX 4in1 vai ekvivalents</t>
  </si>
  <si>
    <t>Palīgmateriāli (skruves , stiprinājmi, blīvējošā mastika)</t>
  </si>
  <si>
    <t>Pieslēgums pie sienas</t>
  </si>
  <si>
    <t>tek.m</t>
  </si>
  <si>
    <t>Vējamala</t>
  </si>
  <si>
    <t xml:space="preserve">m </t>
  </si>
  <si>
    <t>8</t>
  </si>
  <si>
    <t>Lietus ūdens novadsistēmas uzstādīšana</t>
  </si>
  <si>
    <t>Notekrenes un caurules BORGA vai ekvivalents d=100mm</t>
  </si>
  <si>
    <t>9</t>
  </si>
  <si>
    <t>21-00000</t>
  </si>
  <si>
    <t>Jumtiņu griestu virsmas attīrīšana un gruntēša</t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</si>
  <si>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</si>
  <si>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t>Zemapmetuma grunts SAKRET PG vai ekvivalents</t>
  </si>
  <si>
    <t>10</t>
  </si>
  <si>
    <t>Griestu apdare ar sietu iestrādātu līmjavas kārtā</t>
  </si>
  <si>
    <t>Siets dzeltens, 160g vai ekvivalents</t>
  </si>
  <si>
    <t>Līmjava SAKRET BAK vai ekvivalents</t>
  </si>
  <si>
    <t xml:space="preserve">Stūra profils ar sieta pagarinājumu </t>
  </si>
  <si>
    <t>11</t>
  </si>
  <si>
    <t>Griestu dekoratīvais apmetums</t>
  </si>
  <si>
    <t>Apmetums SAKRET SBP vai ekvivalents</t>
  </si>
  <si>
    <t>12</t>
  </si>
  <si>
    <t>Griestu dekoratīvais krāsojums atbilstoši krāsu pasei</t>
  </si>
  <si>
    <t>Gunts krāsa SAKRET FMg vai ekvivalents</t>
  </si>
  <si>
    <t>Krāsa tonēta SAKRET Silikona sveķu krāsa SKF vai ekvivalents</t>
  </si>
  <si>
    <t>Akmens vates apaksklajs PAROC Ros 30 vai ekvivalents (siltumvadības koeficients λ ≤  0,036 W/(mK)) 150mm</t>
  </si>
  <si>
    <t>Fasādes siltināsana un apdare</t>
  </si>
  <si>
    <t>Esošā aprīkojuma demontāža no fasādes un montāža pēc rekonstrukcijas darbu pabeigšanas (numura zīme, karoga turētājs, gaismekļi, sarunu iekārtas, kodatslēgas u.c.)</t>
  </si>
  <si>
    <t>Starp logu koka konstrukcijas demontāža fasādes asī 1-25</t>
  </si>
  <si>
    <t>Skārda palodžu demontāža</t>
  </si>
  <si>
    <t>03-00000</t>
  </si>
  <si>
    <t>Fasādes sastatņu montāža-demontāža ar aizsargsietu</t>
  </si>
  <si>
    <t>Satatnes</t>
  </si>
  <si>
    <t>Aizsargsiets</t>
  </si>
  <si>
    <t>Esošās fasādes virsmas attīrīšana un gruntēša</t>
  </si>
  <si>
    <t>Fasādes virsmas izlīdzināšana ar līmjavu, izdrupušo vietu remonts veicot bojāto ķieģeļu nomaiņu, izdrupuma vietu aizpildi ar javu un papildus sieta slāņa iestrādi 25%</t>
  </si>
  <si>
    <t>SAKRET Fasādes Stiklašķiedras siets 1,1X50m 160g/m2 vai ekvivalents</t>
  </si>
  <si>
    <t>Fasādes sienu apdare ar siltumizolācijas materiālu atbilstoši AR-11</t>
  </si>
  <si>
    <t>PAROC Linio 15 vai ekvivalents λ≤0,037W/mK b=200mm</t>
  </si>
  <si>
    <t xml:space="preserve">Dībeļi wkret-met 10x260mm vai ekvivalents </t>
  </si>
  <si>
    <t>gb</t>
  </si>
  <si>
    <t>Cokola profils ar lāseni 200mm</t>
  </si>
  <si>
    <t>Pilastru un lodžiju sienu apdare ar siltumizolācijas materiālu</t>
  </si>
  <si>
    <t>PAROC Linio 15 vai ekvivalents   λ≤0,037W/mK b=30mm</t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</si>
  <si>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</si>
  <si>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Fasādes apdare ar sietu iestrādātu līmjavas kārtā</t>
  </si>
  <si>
    <t>SAKRET Fasādes Stiklašķiedras siets 1,1X50m 160g/m2 vai evivalents</t>
  </si>
  <si>
    <t>Fasādes dekoratīvais apmetums</t>
  </si>
  <si>
    <t>Minerālais apmetums SAKRET SBP ( 3,0mm) vai ekvivalents</t>
  </si>
  <si>
    <t>Fasādes dekoratīvais krāsojums atbilstoši krāsu pasei</t>
  </si>
  <si>
    <t>Palodžu izgatavošana un montāža krāsots skārds 270 mm</t>
  </si>
  <si>
    <t>Esošās ūdens novadīšanas joslas demontāža</t>
  </si>
  <si>
    <t>Esošo pamatu atrakšana</t>
  </si>
  <si>
    <r>
      <t>m</t>
    </r>
    <r>
      <rPr>
        <vertAlign val="superscript"/>
        <sz val="10"/>
        <color indexed="8"/>
        <rFont val="Times New Roman"/>
        <family val="1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</si>
  <si>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</si>
  <si>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</si>
  <si>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 Atbilstoši AR-13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</si>
  <si>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</si>
  <si>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Bituma bāzes hidroizolāciju/līmi bez šķīdinātājiem TechnoNICOL vai ekvivalents</t>
  </si>
  <si>
    <t>Virspamata zonas  sieniņu novilkšana ar līmjavu un sieta iestrāde</t>
  </si>
  <si>
    <t>Cokola  dekoratīvais apmetums</t>
  </si>
  <si>
    <t>Cokola un  krāsojums atbilstoši krāsu pasei</t>
  </si>
  <si>
    <t>Ailu sānu malu apdare ar siltumizolācijas materiālu, pieslēguma logu un durvju blokam hermetizācija</t>
  </si>
  <si>
    <t>Putupolistirols Tenapors supra EPS-120 vai ekvivalents λ≤0,041W/mK b=30mm</t>
  </si>
  <si>
    <t>Ailu sānu malu apdare ar sietu iestrādātu līmjavas kārtā</t>
  </si>
  <si>
    <t>Stūra profils ar sieta pagarinājumu</t>
  </si>
  <si>
    <t>Ailu sānu malu dekoratīvais apmetums</t>
  </si>
  <si>
    <t>Ailu sānu malu dekoratīvais krāsojums atbilstoši krāsu pasei</t>
  </si>
  <si>
    <t>Būvbedres aizbēršana veicot blietēšanu pa kārtām un daļēju grunts nomaiņu (50% apjomā)</t>
  </si>
  <si>
    <r>
      <t>m</t>
    </r>
    <r>
      <rPr>
        <vertAlign val="superscript"/>
        <sz val="10"/>
        <color indexed="8"/>
        <rFont val="Times New Roman"/>
        <family val="1"/>
      </rPr>
      <t>3</t>
    </r>
  </si>
  <si>
    <t>Smilts ar piegādi</t>
  </si>
  <si>
    <t>Liekās grunts izvesšana un utilizācija</t>
  </si>
  <si>
    <t>Drenējoša slāņa izveide</t>
  </si>
  <si>
    <t>Sagataves kartas uzveide</t>
  </si>
  <si>
    <t>31-00000</t>
  </si>
  <si>
    <t>Borta akmens montāža</t>
  </si>
  <si>
    <t>Brūģešanas darbi</t>
  </si>
  <si>
    <t xml:space="preserve">Betona seguma atjaunošana pie ieejas kāpnēm </t>
  </si>
  <si>
    <t>Esošo lieveņu betona virsmas un pakāpienu attīrīšana un gruntēšana</t>
  </si>
  <si>
    <t>Pašizlīdzinošā sastāva iestrāde lievenī</t>
  </si>
  <si>
    <t>Stikla bloku demontāža kāpņu telpās</t>
  </si>
  <si>
    <t>06-00000</t>
  </si>
  <si>
    <t>Gāzbetona sienu mūrēšana kapņutelpās</t>
  </si>
  <si>
    <t>Gāzbetona bloki 150mm BAUROC vai ekvivalets</t>
  </si>
  <si>
    <t>Plātņu līme BAUROC vai ekvivalents</t>
  </si>
  <si>
    <t>maisi</t>
  </si>
  <si>
    <t>Durvju un logu bloku montāža</t>
  </si>
  <si>
    <t>08-00000</t>
  </si>
  <si>
    <t>10-00000</t>
  </si>
  <si>
    <t>Ailu apdare pēc AR-17  rasējumiem</t>
  </si>
  <si>
    <t>Veco durvju demontāža, tērauda un koka durvju bloka uzstādīšana Uw ≤ 1.6 (W/m2 K)</t>
  </si>
  <si>
    <r>
      <t>m</t>
    </r>
    <r>
      <rPr>
        <vertAlign val="superscript"/>
        <sz val="10"/>
        <color indexed="8"/>
        <rFont val="Times New Roman"/>
        <family val="1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</si>
  <si>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Virsmas attīrīšana un gruntēša</t>
  </si>
  <si>
    <t>Dziļumgrunts vincents tifgrunt vai ekvivalents</t>
  </si>
  <si>
    <t>Vates iestrāde pagraba griestos</t>
  </si>
  <si>
    <t>Durvju un logu aplīmēšana ar plēvi</t>
  </si>
  <si>
    <t>Plēve</t>
  </si>
  <si>
    <t>Līmlenta</t>
  </si>
  <si>
    <t>Kāpņu nosegšana ar plēvi</t>
  </si>
  <si>
    <t>Griestu mazgāšana</t>
  </si>
  <si>
    <t>Krīta seguma mazgāšana no sienas</t>
  </si>
  <si>
    <t>Griestu sagatavošana krāsošanai</t>
  </si>
  <si>
    <t>l</t>
  </si>
  <si>
    <t>Vetonit LR vai ekvivalents</t>
  </si>
  <si>
    <t>Špakteļķite</t>
  </si>
  <si>
    <t>Smilšpapīrs</t>
  </si>
  <si>
    <t>Griestu krāsošana</t>
  </si>
  <si>
    <t>Ūdens emulsija balta sadolin inetak 2 vai ekvivalents</t>
  </si>
  <si>
    <t>Sienu izlīdzināšna (plakne)</t>
  </si>
  <si>
    <t>Dziļumgrunts vincents betongrunt vai ekvivalents</t>
  </si>
  <si>
    <t>Rotband vai ekvivalents</t>
  </si>
  <si>
    <t>Sienu sagatavošana krāsošanai</t>
  </si>
  <si>
    <t>Sienu krāsošana</t>
  </si>
  <si>
    <t>Ūdens emulsija tonēta sadolin bindo 3 vai ekvivalents</t>
  </si>
  <si>
    <t>Malas pie kāpnēm krāsošana</t>
  </si>
  <si>
    <t>Alkīda krāsa tonēta</t>
  </si>
  <si>
    <t>Kāpņu pakāpienu un laukumu krāsošana</t>
  </si>
  <si>
    <t xml:space="preserve">Margu attīrīšana no rūsas, gruntēšana, krāsošana </t>
  </si>
  <si>
    <t>13</t>
  </si>
  <si>
    <t>Jaunu lenteru ierīkošana</t>
  </si>
  <si>
    <t>14</t>
  </si>
  <si>
    <t>Esošo kabeļu noņemšana un atlikšana</t>
  </si>
  <si>
    <t>Ēkas radiatoru apkures sistēma</t>
  </si>
  <si>
    <t>Cauruļvadu demontāža</t>
  </si>
  <si>
    <t>Caurumu izkalšana caurulēm</t>
  </si>
  <si>
    <t>17-00000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</si>
  <si>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</si>
  <si>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</si>
  <si>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</si>
  <si>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</si>
  <si>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</si>
  <si>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Automātiskais atgaisotājs (pēdējā stāva radiatoriem)</t>
  </si>
  <si>
    <t>Alokators ar attālināto nolasīšanu</t>
  </si>
  <si>
    <t>Ugunsdrošās manžetes cauruļvadu pārsegumu šķērsojumu vietās</t>
  </si>
  <si>
    <t>Cauruļu veidgabali, stiprinājumi, saskrūves u.c. palīgmateriāli</t>
  </si>
  <si>
    <t>Ēkas apkures maģistrāles.</t>
  </si>
  <si>
    <t>Izolācijas montāžas palīgmateriāli</t>
  </si>
  <si>
    <t>Sistēmas ieregulēšanas un balansēšanas darbi</t>
  </si>
  <si>
    <t>Ū1  sistēma</t>
  </si>
  <si>
    <t>14-00000</t>
  </si>
  <si>
    <t>Plastmasas PP-R/Al Fusiotherm Stabi SDR 7.4 caurule DN 25 Ø32x4.5vai ekvivalents</t>
  </si>
  <si>
    <t>Plastmasas Plastmasas PP-R/Al Fusiotherm Stabi SDR7.4 caurule DN50 Ø75x10.3 vai ekvivalents</t>
  </si>
  <si>
    <t>Plastmasas PP-R/Al Fusiotherm Stabi SDR 7.4 caurules veidgabali vai ekvivalents</t>
  </si>
  <si>
    <t>kompl</t>
  </si>
  <si>
    <t>Unipipe kompozītcaurule DN15 Ø20×2.25 ar veidgabaliem vai ekvivalents</t>
  </si>
  <si>
    <t>Unipipe kompozītcaurule DN25 Ø32×3 ar veidgabaliem vai ekvivalents</t>
  </si>
  <si>
    <t>Izolācija Armacell TUBOLIT DG TL-22/9-DG, grūti degoša vai ekvivalents</t>
  </si>
  <si>
    <t>Izolācija Armacell TUBOLIT DG TL-35/9-DG, grūti degoša vai ekvivalents</t>
  </si>
  <si>
    <t>Izolācija Armacell TUBOLIT DG TL-75/9-DG, grūti degoša vai ekvivalents</t>
  </si>
  <si>
    <t>Izolācija Armacell TUBOLIT DG TL-50/9-DG, grūti degoša vai ekvivalents</t>
  </si>
  <si>
    <t>14-00001</t>
  </si>
  <si>
    <t>Lūkas</t>
  </si>
  <si>
    <t>Cauruļvada stiprinājumi</t>
  </si>
  <si>
    <t>Ugunsdrošas putas vai hermētiķis</t>
  </si>
  <si>
    <t>Komunikāciju šahtu atvēršana/aizvēršana</t>
  </si>
  <si>
    <t>vieta</t>
  </si>
  <si>
    <t>Stāvvadu zemēšana</t>
  </si>
  <si>
    <t>Esošo cauruļvadu demontaža</t>
  </si>
  <si>
    <t>T3, T4 sistēmas</t>
  </si>
  <si>
    <t>Plastmasas PP-R/Al Fusiotherm Stabi SDR 7.4 caurule DN25 Ø32x4.5 vai ekvivalents</t>
  </si>
  <si>
    <t>Plastmasas PP-R/Al Fusiotherm Stabi SDR 7.4 caurule DN40 Ø50x6.9 vai ekvivalents</t>
  </si>
  <si>
    <t>Plastmasas PP-R/Al Fusiotherm Stabi SDR7.4 caurule DN50 Ø75x10.3 vai ekvivalents</t>
  </si>
  <si>
    <t>Unipipe kompozītcaurule DN20 Ø25×2.5 ar veidgabaliem vai ekvivalents</t>
  </si>
  <si>
    <t>Izolācija Armacell TUBOLIT DG TL-22/20-DG, grūti degoša vai ekvivalents</t>
  </si>
  <si>
    <t>Izolācija Armacell TUBOLIT DG TL-28/20-DG, grūti degoša vai ekvivalents</t>
  </si>
  <si>
    <t>Izolācija Armacell TUBOLIT DG TL-35/20-DG, grūti degoša vai ekvivalents</t>
  </si>
  <si>
    <t>Jumta mīkstā seguma ieklāšana atbilstoši AR-18</t>
  </si>
  <si>
    <t>Profilēta jumta skarda ieklāšna un uz antiseptēta latojuma</t>
  </si>
  <si>
    <t>Skārda elementu ierīkošana</t>
  </si>
  <si>
    <t>PAROC CGL 20cy vai ekvivalents λ≤0,037W/mK b=150mm</t>
  </si>
  <si>
    <t>Minerālvates izolācijas čaula, ar alum. atstarojošo slāni; s=50mm 21 (λ ≤  0,045 W/(mK)) Paroc vai ekvivalents</t>
  </si>
  <si>
    <t>Minerālvates izolācijas čaula, ar alum. atstarojošo slāni; s=50mm 27 (λ ≤  0,045 W/(mK)) Paroc vai ekvivalents</t>
  </si>
  <si>
    <t>Minerālvates izolācijas čaula, ar alum. atstarojošo slāni; s=50mm 34 (λ ≤  0,045 W/(mK)) Paroc vai ekvivalents</t>
  </si>
  <si>
    <t>Minerālvates izolācijas čaula, ar alum. atstarojošo slāni; s=50mm 42 (λ ≤  0,045 W/(mK)) Paroc vai ekvivalents</t>
  </si>
  <si>
    <t>Minerālvates izolācijas čaula, ar alum. atstarojošo slāni; s=50mm 60 (λ ≤  0,045 W/(mK)) Paroc vai ekvivalents</t>
  </si>
  <si>
    <t>Minerālvates izolācijas čaula, ar alum. atstarojošo slāni; s=50mm 76 (λ ≤  0,045 W/(mK)) Paroc vai ekvivalents</t>
  </si>
  <si>
    <t>Minerālvates izolācijas čaula, ar alum. atstarojošo slāni; s=50mm 89 (λ ≤  0,045 W/(mK)) Paroc vai ekvivalents</t>
  </si>
  <si>
    <t>Tērauda caurule DN 15 - ∅ 21.3x2.8 vai ekvivalents</t>
  </si>
  <si>
    <t>Tērauda caurule DN 20 - ∅ 26.9x2.8 vai ekvivalents</t>
  </si>
  <si>
    <t>Tērauda caurule DN 25 - ∅ 33.7x3.2 vai ekvivalents</t>
  </si>
  <si>
    <t>Tērauda caurule DN 32- ∅ 42.3x3.2 vai ekvivalents</t>
  </si>
  <si>
    <t>Tērauda caurule DN 50- ∅ 60.3x3.5 vai ekvivalents</t>
  </si>
  <si>
    <t>Tērauda caurule DN 65- ∅ 76.1x3 vai ekvivalents</t>
  </si>
  <si>
    <t>Tērauda caurule DN 80- ∅ 88.9x3 vai ekvivalents</t>
  </si>
  <si>
    <t>Noslēgventilis DN32 vai ekvivalents</t>
  </si>
  <si>
    <t>Noslēgventilis DN80 vai ekvivalents</t>
  </si>
  <si>
    <t>Noslēgventilis izlaidei DN 20 vai ekvivalents</t>
  </si>
  <si>
    <t>Tērauda caurule DN 15 - ∅ 18x1.2 (presejamās) vai ekvivalents</t>
  </si>
  <si>
    <t>Tērauda caurule DN 20 - ∅ 22x1.5 (presējamās) vai ekvivalents</t>
  </si>
  <si>
    <t>Noslēgventilis (tauriņveida) DN15 (Ø1/2'') vai ekvivalents</t>
  </si>
  <si>
    <t>Termostatventilis divcauruļu sistēmām vai ekvivalents</t>
  </si>
  <si>
    <t>Termostata galva (mehāniskā ar ciparu iedaļām, 2cauruļu sistēmām) vai ekvivalents</t>
  </si>
  <si>
    <t>Balansēšanas vārsts DN 15; Kvs=0,63m³/st. vai ekvivalents</t>
  </si>
  <si>
    <t>Balansēšanas vārsts DN 15; Kvs=1,62m³/st. vai ekvivalents</t>
  </si>
  <si>
    <t>Noslēgventilis DN15 (Ø1/2'') vai ekvivalents</t>
  </si>
  <si>
    <t>Noslēgventilis DN20 (Ø3/4'') vai ekvivalents</t>
  </si>
  <si>
    <t>Armatūra 8mm vai ekvivalets</t>
  </si>
  <si>
    <t>BAUROC gazbetona parsedze 150x400x3000 vai ekvivalets</t>
  </si>
  <si>
    <t>L-1 logu bloks (2150x1450) vai ekvivalets</t>
  </si>
  <si>
    <t>L-2 logu bloks (3000x1450) vai ekvivalets</t>
  </si>
  <si>
    <t>L-3 logu bloks (1750x1150) vai ekvivalets</t>
  </si>
  <si>
    <t>L-4 logu bloks ar balkona durvīm (3100x2500) vai ekvivalets</t>
  </si>
  <si>
    <t>L-5 logu bloks (2860x1450) vai ekvivalets</t>
  </si>
  <si>
    <t>L-6 logu bloks ar balkona durvīm (3100x2500) vai ekvivalets</t>
  </si>
  <si>
    <t>L-7 logu bloks ar balkona durvīm (3000x2500) vai ekvivalets</t>
  </si>
  <si>
    <t>L-8 logu bloks ar balkona durvīm (3000x2500) vai ekvivalets</t>
  </si>
  <si>
    <t>L-9 metala reste (900x600) vai ekvivalets</t>
  </si>
  <si>
    <t>L-10 logu bloks (2360x880) vai ekvivalets</t>
  </si>
  <si>
    <t>L-11 logu bloks (2360x800) vai ekvivalets</t>
  </si>
  <si>
    <t>L-12 logu bloks (2860x500) vai ekvivalets</t>
  </si>
  <si>
    <t>L-13 logu bloks (6100x1500) vai ekvivalets</t>
  </si>
  <si>
    <t>D-4 terauda durvju bloks (900x2100) vai ekvivalets</t>
  </si>
  <si>
    <t>D-5 terauda durvju bloks (900x2100) vai ekvivalets</t>
  </si>
  <si>
    <t>Bruģis 198x98x60 vai ekvivalets</t>
  </si>
  <si>
    <t>Grants izsija vai ekvivalets</t>
  </si>
  <si>
    <t>Šķembas frakcija 0-40 vai ekvivalets</t>
  </si>
  <si>
    <t>Šķembas frakcija 40-70 vai ekvivalets</t>
  </si>
  <si>
    <t>Rupjas smilts vai ekvivalets</t>
  </si>
  <si>
    <t>Palīgmateriāli (stiprinājumi, skruves, hermetiķis)</t>
  </si>
  <si>
    <t>Penetron vai ekvivalets</t>
  </si>
  <si>
    <t>Profilets skārds vai ekvivalets</t>
  </si>
  <si>
    <t>Aniseptets latojums 38*100 ar soli 300 vai ekvivalets</t>
  </si>
  <si>
    <t>Būvlaukuma sagatavošanas darbi</t>
  </si>
  <si>
    <t>Jumta remonts un bēniņu siltināšana</t>
  </si>
  <si>
    <t>Fasādes siltināšana un apdare</t>
  </si>
  <si>
    <t>Cokols</t>
  </si>
  <si>
    <t>Pagraba griestu siltinašana</t>
  </si>
  <si>
    <t>Kāpņu telpas kosmētiskais remonts</t>
  </si>
  <si>
    <t>Apkures sistēma</t>
  </si>
  <si>
    <t>Ūdensapgāde</t>
  </si>
  <si>
    <t>Dzīvojamā māja</t>
  </si>
  <si>
    <t xml:space="preserve">Energoefektivitātes paaugstināšanas projekts dzīvojamai mājai </t>
  </si>
  <si>
    <t>Mātera iela 31, Jelgava, LV-3001, KAD.NR.09000010447001</t>
  </si>
  <si>
    <t>Akmens vates apaksklajs PAROC Ros 30 vai ekvivalents (siltumvadības koeficients λ ≤  0,036 W/(mK)) 120mm</t>
  </si>
  <si>
    <t>Akmens vates virslānis PAROC Rob 50 vai ekvivalents (siltumvadības koeficients λ ≤  0,037 W/(mK)) 30mm</t>
  </si>
  <si>
    <t>Ailu sānu malu apdare ar siltumizolācijas materiālu, pieslēguma logu un durvju blokam hermetizācija 250 mm</t>
  </si>
  <si>
    <t>Putupolistirols TENAPORS EXTRA vai ekvivalents (siltumvadības koeficients λ ≤ 0,034 /(m·K)) b=150mm</t>
  </si>
  <si>
    <t>Veco logu demontāža un jaunu PVC logu bloku uzstādīšana Uw ≤ 1.1 (W/m2 K) (izņemot L-9 un L-13 nav Uw vertības)</t>
  </si>
  <si>
    <t>Palodzes iekšējās DSP 300 mm vai ekvivalets</t>
  </si>
  <si>
    <t>Gaisa pieplūdes vārsta ierīkošana jaunajos dzīvokļu logu blokos Air-Box ECO  vai ekvivalentus</t>
  </si>
  <si>
    <t>D-1 tērauda durvju bloks (1100x2100) Krāsotas no abām pusēm tonī RAL 3011, siltinātas, ar aizvērj mehānismu un koda atslēgu. vai ekvivalets</t>
  </si>
  <si>
    <t>D-2 tērauda durvju bloks  (1100x2100) Krāsotas no abām pusēm tonī RAL 3011, siltinātas, ar aizvērj mehānismu un koda atslēgu. vai ekvivalets</t>
  </si>
  <si>
    <t>D-3 koka durvju bloks (950x2100) Krāsotas no abām pusēm tonī RAL 3011, siltinātas, ar aizvērj mehānismu.  vai ekvivalets</t>
  </si>
  <si>
    <r>
      <rPr>
        <sz val="8"/>
        <rFont val="Arial"/>
        <family val="2"/>
      </rPr>
      <t>Esošo sildķermeņu demontāža</t>
    </r>
  </si>
  <si>
    <r>
      <t xml:space="preserve">Tērauda radiators, tips - ar sānu pieslēgumu, komplektā - korķis, atgaisošanas ventilis, stiprinājumi </t>
    </r>
    <r>
      <rPr>
        <sz val="10"/>
        <rFont val="Times New Roman"/>
        <family val="1"/>
      </rPr>
      <t xml:space="preserve">22-900-1600 </t>
    </r>
    <r>
      <rPr>
        <sz val="10"/>
        <rFont val="Times New Roman"/>
        <family val="1"/>
        <charset val="186"/>
      </rPr>
      <t>Purmo compact vai ekvivalents</t>
    </r>
  </si>
  <si>
    <t>Plastmasas PP-R/Al Fusiotherm Stabi SDR 7.4 caurule DN15 Ø20x2.5 vai ekvivalents</t>
  </si>
  <si>
    <t>Lodveida krāns DN15 vai ekvivalents</t>
  </si>
  <si>
    <t>Lodveida krāns DN25 vai ekvivalents</t>
  </si>
  <si>
    <t>Lodveida krāns DN40 vai ekvivalents</t>
  </si>
  <si>
    <t>Lodveida krāns DN50 vai ekvivalents</t>
  </si>
  <si>
    <t>Balansējošais vārsts DN15 vai ekvivalents</t>
  </si>
  <si>
    <t>Dvieļu žāvētājs ar veidgabaliem (50x120) vai ekvivalents</t>
  </si>
  <si>
    <t>Balkona margu atjaunošāna</t>
  </si>
  <si>
    <t>Esoša balkona margu apšuvuma demontāža</t>
  </si>
  <si>
    <t>Balona margu atjaunošana(attirot, gruntējot un krasojot) montējot nosedzošie trapecveida profilu, RAL 3024</t>
  </si>
  <si>
    <t>krasa metāla margam(RIATOP 30 vai ekvivalents) RAL 3024</t>
  </si>
  <si>
    <t>Nosedzošie trapecveida profili, RAL 3024 PP20 ar PUR parklajumu B=0,7 mm</t>
  </si>
  <si>
    <t>grunts metāla margām (RIATOP primervai ekvivalents)</t>
  </si>
  <si>
    <t>Paligmateriali  (smilšpapirs,skruves,silikons)</t>
  </si>
  <si>
    <t>precizēt apjomu</t>
  </si>
  <si>
    <t>..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</si>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</sst>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_-* #,##0\$_-;\-* #,##0\$_-;_-* &quot;-$&quot;_-;_-@_-"/>
    <numFmt numFmtId="168" formatCode="_-* #,##0.00\$_-;\-* #,##0.00\$_-;_-* \-??\$_-;_-@_-"/>
    <numFmt numFmtId="169" formatCode="_-* #,##0.00_-;\-* #,##0.00_-;_-* \-??_-;_-@_-"/>
    <numFmt numFmtId="170" formatCode="_(* #,##0.00_);_(* \(#,##0.00\);_(* \-??_);_(@_)"/>
    <numFmt numFmtId="171" formatCode="m&quot;ont&quot;h\ d&quot;, &quot;yyyy"/>
    <numFmt numFmtId="172" formatCode="_-* #,##0_-;\-* #,##0_-;_-* \-_-;_-@_-"/>
    <numFmt numFmtId="173" formatCode="#.00"/>
    <numFmt numFmtId="174" formatCode="#."/>
    <numFmt numFmtId="175" formatCode="&quot;See Note  &quot;#"/>
    <numFmt numFmtId="176" formatCode="_-\£* #,##0_-;&quot;-£&quot;* #,##0_-;_-\£* \-_-;_-@_-"/>
    <numFmt numFmtId="177" formatCode="_-\£* #,##0.00_-;&quot;-£&quot;* #,##0.00_-;_-\£* \-??_-;_-@_-"/>
    <numFmt numFmtId="178" formatCode="_-* #,##0.00\ _L_s_-;\-* #,##0.00\ _L_s_-;_-* \-??\ _L_s_-;_-@_-"/>
    <numFmt numFmtId="179" formatCode="_-* #,##0.00\ _k_r_-;\-* #,##0.00\ _k_r_-;_-* &quot;-&quot;??\ _k_r_-;_-@_-"/>
  </numFmts>
  <fonts count="45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8"/>
      <name val="Arial"/>
      <family val="2"/>
    </font>
    <font>
      <vertAlign val="superscript"/>
      <sz val="10"/>
      <color indexed="8"/>
      <name val="Times New Roman"/>
      <family val="1"/>
    </font>
    <font>
      <vertAlign val="superscript"/>
      <sz val="10"/>
      <name val="Times New Roman"/>
      <family val="1"/>
      <charset val="186"/>
    </font>
    <font>
      <sz val="10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10"/>
      <name val="Arial Cyr"/>
      <family val="2"/>
      <charset val="204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  <charset val="186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47" applyNumberFormat="0" applyAlignment="0" applyProtection="0"/>
    <xf numFmtId="0" fontId="15" fillId="21" borderId="48" applyNumberFormat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3" fillId="0" borderId="49">
      <alignment textRotation="90"/>
    </xf>
    <xf numFmtId="0" fontId="3" fillId="0" borderId="49">
      <alignment textRotation="90"/>
    </xf>
    <xf numFmtId="171" fontId="16" fillId="0" borderId="0">
      <protection locked="0"/>
    </xf>
    <xf numFmtId="171" fontId="16" fillId="0" borderId="0">
      <protection locked="0"/>
    </xf>
    <xf numFmtId="172" fontId="3" fillId="0" borderId="0" applyFill="0" applyBorder="0" applyAlignment="0" applyProtection="0"/>
    <xf numFmtId="169" fontId="3" fillId="0" borderId="0" applyFill="0" applyBorder="0" applyAlignment="0" applyProtection="0"/>
    <xf numFmtId="0" fontId="17" fillId="0" borderId="0" applyNumberFormat="0"/>
    <xf numFmtId="0" fontId="18" fillId="0" borderId="0" applyNumberFormat="0" applyFill="0" applyBorder="0" applyAlignment="0" applyProtection="0"/>
    <xf numFmtId="173" fontId="16" fillId="0" borderId="0">
      <protection locked="0"/>
    </xf>
    <xf numFmtId="173" fontId="16" fillId="0" borderId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50" applyNumberFormat="0" applyFill="0" applyAlignment="0" applyProtection="0"/>
    <xf numFmtId="0" fontId="21" fillId="0" borderId="51" applyNumberFormat="0" applyFill="0" applyAlignment="0" applyProtection="0"/>
    <xf numFmtId="0" fontId="22" fillId="0" borderId="52" applyNumberFormat="0" applyFill="0" applyAlignment="0" applyProtection="0"/>
    <xf numFmtId="0" fontId="22" fillId="0" borderId="0" applyNumberFormat="0" applyFill="0" applyBorder="0" applyAlignment="0" applyProtection="0"/>
    <xf numFmtId="174" fontId="23" fillId="0" borderId="0">
      <protection locked="0"/>
    </xf>
    <xf numFmtId="174" fontId="23" fillId="0" borderId="0">
      <protection locked="0"/>
    </xf>
    <xf numFmtId="174" fontId="23" fillId="0" borderId="0">
      <protection locked="0"/>
    </xf>
    <xf numFmtId="174" fontId="23" fillId="0" borderId="0">
      <protection locked="0"/>
    </xf>
    <xf numFmtId="0" fontId="24" fillId="22" borderId="0"/>
    <xf numFmtId="0" fontId="25" fillId="23" borderId="0"/>
    <xf numFmtId="0" fontId="26" fillId="0" borderId="0"/>
    <xf numFmtId="0" fontId="28" fillId="0" borderId="0"/>
    <xf numFmtId="0" fontId="27" fillId="7" borderId="47" applyNumberFormat="0" applyAlignment="0" applyProtection="0"/>
    <xf numFmtId="0" fontId="29" fillId="0" borderId="53">
      <alignment vertical="center"/>
    </xf>
    <xf numFmtId="0" fontId="30" fillId="0" borderId="53">
      <alignment vertical="center"/>
    </xf>
    <xf numFmtId="0" fontId="31" fillId="0" borderId="54" applyNumberFormat="0" applyFill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3" fillId="0" borderId="0"/>
    <xf numFmtId="0" fontId="34" fillId="0" borderId="0" applyNumberFormat="0">
      <alignment horizontal="center"/>
    </xf>
    <xf numFmtId="0" fontId="35" fillId="20" borderId="55" applyNumberFormat="0" applyAlignment="0" applyProtection="0"/>
    <xf numFmtId="9" fontId="3" fillId="0" borderId="0" applyFill="0" applyBorder="0" applyAlignment="0" applyProtection="0"/>
    <xf numFmtId="0" fontId="36" fillId="0" borderId="0"/>
    <xf numFmtId="0" fontId="3" fillId="25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/>
    <xf numFmtId="174" fontId="16" fillId="0" borderId="56">
      <protection locked="0"/>
    </xf>
    <xf numFmtId="175" fontId="1" fillId="0" borderId="0">
      <alignment horizontal="left"/>
    </xf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178" fontId="3" fillId="0" borderId="0" applyFill="0" applyBorder="0" applyAlignment="0" applyProtection="0"/>
    <xf numFmtId="0" fontId="3" fillId="0" borderId="0" applyNumberFormat="0" applyFill="0" applyBorder="0" applyAlignment="0" applyProtection="0"/>
    <xf numFmtId="0" fontId="40" fillId="0" borderId="0"/>
    <xf numFmtId="0" fontId="39" fillId="0" borderId="0"/>
    <xf numFmtId="0" fontId="4" fillId="0" borderId="0"/>
    <xf numFmtId="0" fontId="4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7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7" fillId="0" borderId="29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vertical="top" wrapText="1"/>
    </xf>
    <xf numFmtId="164" fontId="5" fillId="0" borderId="29" xfId="0" applyNumberFormat="1" applyFont="1" applyBorder="1" applyAlignment="1">
      <alignment horizontal="left" vertical="top" wrapText="1"/>
    </xf>
    <xf numFmtId="164" fontId="5" fillId="0" borderId="29" xfId="0" applyNumberFormat="1" applyFont="1" applyBorder="1" applyAlignment="1">
      <alignment horizontal="right" vertical="top" wrapText="1" indent="1"/>
    </xf>
    <xf numFmtId="164" fontId="1" fillId="0" borderId="57" xfId="0" applyNumberFormat="1" applyFont="1" applyBorder="1" applyAlignment="1">
      <alignment horizontal="center" vertical="center" wrapText="1"/>
    </xf>
    <xf numFmtId="165" fontId="1" fillId="0" borderId="5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5" fillId="0" borderId="29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vertical="top" wrapText="1"/>
    </xf>
    <xf numFmtId="165" fontId="7" fillId="0" borderId="46" xfId="0" applyNumberFormat="1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left" vertical="top" wrapText="1"/>
    </xf>
    <xf numFmtId="0" fontId="1" fillId="0" borderId="0" xfId="0" applyFont="1" applyFill="1"/>
    <xf numFmtId="164" fontId="7" fillId="0" borderId="46" xfId="0" applyNumberFormat="1" applyFont="1" applyFill="1" applyBorder="1" applyAlignment="1">
      <alignment horizontal="center" vertical="center" wrapText="1"/>
    </xf>
    <xf numFmtId="165" fontId="7" fillId="0" borderId="4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9" fontId="1" fillId="0" borderId="0" xfId="107" applyFont="1"/>
    <xf numFmtId="164" fontId="5" fillId="0" borderId="44" xfId="2" applyNumberFormat="1" applyFont="1" applyBorder="1" applyAlignment="1">
      <alignment horizontal="center" vertical="center"/>
    </xf>
    <xf numFmtId="164" fontId="5" fillId="0" borderId="44" xfId="2" applyNumberFormat="1" applyFont="1" applyFill="1" applyBorder="1" applyAlignment="1">
      <alignment horizontal="center" vertical="center"/>
    </xf>
    <xf numFmtId="0" fontId="42" fillId="0" borderId="40" xfId="0" applyFont="1" applyFill="1" applyBorder="1" applyAlignment="1">
      <alignment vertical="center" wrapText="1"/>
    </xf>
    <xf numFmtId="14" fontId="1" fillId="0" borderId="0" xfId="0" applyNumberFormat="1" applyFont="1"/>
    <xf numFmtId="164" fontId="43" fillId="0" borderId="46" xfId="0" applyNumberFormat="1" applyFont="1" applyFill="1" applyBorder="1" applyAlignment="1">
      <alignment horizontal="center" vertical="center" wrapText="1"/>
    </xf>
    <xf numFmtId="165" fontId="43" fillId="0" borderId="46" xfId="0" applyNumberFormat="1" applyFont="1" applyFill="1" applyBorder="1" applyAlignment="1">
      <alignment horizontal="center" vertical="center" wrapText="1"/>
    </xf>
    <xf numFmtId="164" fontId="44" fillId="0" borderId="29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vertical="top" wrapText="1"/>
    </xf>
    <xf numFmtId="164" fontId="1" fillId="0" borderId="2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34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57" xfId="0" applyNumberFormat="1" applyFont="1" applyBorder="1" applyAlignment="1">
      <alignment horizontal="left" vertical="top" wrapText="1"/>
    </xf>
    <xf numFmtId="164" fontId="1" fillId="0" borderId="5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42" fillId="0" borderId="0" xfId="0" applyFont="1" applyFill="1" applyBorder="1" applyAlignment="1">
      <alignment horizontal="center" vertical="center" wrapText="1"/>
    </xf>
  </cellXfs>
  <cellStyles count="108">
    <cellStyle name="_Copy of J24_KONKURSA FORMAS_kopsavilkums3" xfId="5" xr:uid="{3FA73309-8A15-4106-9E5A-BC1B8EA101F9}"/>
    <cellStyle name="_jekaba_24_virsizd" xfId="6" xr:uid="{3ABE2B8C-9F6A-41DF-8444-120BC521E866}"/>
    <cellStyle name="_jekaba_24_virsizd2" xfId="7" xr:uid="{CC7EE41A-0923-4229-A96A-11424E4454B0}"/>
    <cellStyle name="_Jekaba24_ACG" xfId="8" xr:uid="{EA4B7889-84DD-415A-A2E5-899B52966543}"/>
    <cellStyle name="_virsizd_j24_konstr_past" xfId="9" xr:uid="{33A1D763-A38F-4E26-A10E-1969381240E8}"/>
    <cellStyle name="20% - Accent1 2" xfId="10" xr:uid="{414D1B04-D514-4F9F-862E-53F16ECF73FC}"/>
    <cellStyle name="20% - Accent2 2" xfId="11" xr:uid="{1CACA9AB-863D-4110-9056-C3BACA3E5479}"/>
    <cellStyle name="20% - Accent3 2" xfId="12" xr:uid="{C50A5A8B-FEAA-43E7-B1DC-D7E72B65A212}"/>
    <cellStyle name="20% - Accent4 2" xfId="13" xr:uid="{FBEC42B4-2B9D-467C-8FC8-CA2DB18AE7C9}"/>
    <cellStyle name="20% - Accent5 2" xfId="14" xr:uid="{8B4A9E3C-2E8F-4F40-A39F-A8EEF485AE11}"/>
    <cellStyle name="20% - Accent6 2" xfId="15" xr:uid="{39FD4B6F-117E-4508-B1CE-EEED85A59FCB}"/>
    <cellStyle name="40% - Accent1 2" xfId="16" xr:uid="{B720E171-CAA6-43C9-BEC8-6A3D322568DD}"/>
    <cellStyle name="40% - Accent2 2" xfId="17" xr:uid="{7D17454B-2247-4A0C-9CD5-18BF3387552A}"/>
    <cellStyle name="40% - Accent3 2" xfId="18" xr:uid="{C2D8D802-89E4-4638-845C-26767B42784E}"/>
    <cellStyle name="40% - Accent4 2" xfId="19" xr:uid="{69726142-A9F4-4BA4-A21E-72BA75E8EF1D}"/>
    <cellStyle name="40% - Accent5 2" xfId="20" xr:uid="{03D47374-934E-48E5-B3B0-877534BCB855}"/>
    <cellStyle name="40% - Accent6 2" xfId="21" xr:uid="{3BF501E7-42DD-42EA-A785-C7EE4E6D9876}"/>
    <cellStyle name="60% - Accent1 2" xfId="22" xr:uid="{9E774B1C-D335-47C1-94E9-8F347FD46EE3}"/>
    <cellStyle name="60% - Accent2 2" xfId="23" xr:uid="{608B70D5-A790-40C1-B2E2-717D512F1411}"/>
    <cellStyle name="60% - Accent3 2" xfId="24" xr:uid="{2AC65B22-11BE-49FA-8422-3FE5D05906C4}"/>
    <cellStyle name="60% - Accent4 2" xfId="25" xr:uid="{4B47F461-AA26-474C-B667-8CED14FF97C7}"/>
    <cellStyle name="60% - Accent5 2" xfId="26" xr:uid="{41D4B018-770D-41F2-97BA-8B0B82D0980D}"/>
    <cellStyle name="60% - Accent6 2" xfId="27" xr:uid="{96A41EC6-8F85-4F3F-A9CF-80C2C8C2BA7A}"/>
    <cellStyle name="Äåķåęķūé [0]_laroux" xfId="28" xr:uid="{57BB862C-0CBE-4DC9-A078-60705D45984C}"/>
    <cellStyle name="Äåķåęķūé_laroux" xfId="29" xr:uid="{A66862BC-15C1-4A6D-A82C-603B23D62B62}"/>
    <cellStyle name="Accent1 2" xfId="30" xr:uid="{3B5013A8-A1FB-4EA3-95EA-ED9EC302AB29}"/>
    <cellStyle name="Accent2 2" xfId="31" xr:uid="{9D7A05D3-A1F9-4C97-BCFB-F18D2B29EAEE}"/>
    <cellStyle name="Accent3 2" xfId="32" xr:uid="{F9A9AC6E-6702-4B53-B0D4-3E1A6001893C}"/>
    <cellStyle name="Accent4 2" xfId="33" xr:uid="{23AD66FB-FA11-4C9A-92CA-79BE6BF85FBF}"/>
    <cellStyle name="Accent5 2" xfId="34" xr:uid="{72AEAE2F-9A9D-4826-A324-F771DD2EB42D}"/>
    <cellStyle name="Accent6 2" xfId="35" xr:uid="{431EE381-651E-4ED3-B9CD-B1E5D868EF77}"/>
    <cellStyle name="Bad 2" xfId="36" xr:uid="{C771F696-188F-46D4-BDF2-FA22BB7FF594}"/>
    <cellStyle name="Calculation 2" xfId="37" xr:uid="{CC85C27F-B7B3-4B3C-BC7B-5C04499A9F90}"/>
    <cellStyle name="Check Cell 2" xfId="38" xr:uid="{99862CCE-72B4-4077-8FBB-321AA51EE6A3}"/>
    <cellStyle name="Comma 2" xfId="39" xr:uid="{7BF1BE7F-4F21-4364-83D0-12CBC718FEAE}"/>
    <cellStyle name="Comma 3" xfId="40" xr:uid="{2ED4B5D3-B8F1-4D85-8B67-72EF56EF9F65}"/>
    <cellStyle name="Comma 4" xfId="41" xr:uid="{ED5FDCDF-E5E2-4673-9BC8-C1145B6CCDC9}"/>
    <cellStyle name="Comma 5" xfId="102" xr:uid="{45960D6E-297C-4D9F-9F2C-93A213096F6C}"/>
    <cellStyle name="d" xfId="42" xr:uid="{A50A7935-ED45-4B64-AAAF-414939BEC22A}"/>
    <cellStyle name="d_kuldiga_buvlaukums_20032009" xfId="43" xr:uid="{265135F2-6ABC-4682-B968-009E7EB15FC1}"/>
    <cellStyle name="Date" xfId="44" xr:uid="{B1679E32-D7AA-4793-9557-2AD9A430A8E5}"/>
    <cellStyle name="Date 2" xfId="45" xr:uid="{2A3BCAE7-D142-4189-A309-AB7AD6E5E57C}"/>
    <cellStyle name="Dezimal [0]_Compiling Utility Macros" xfId="46" xr:uid="{DB4CB72C-5650-4968-A0CA-DE8A30D53B9E}"/>
    <cellStyle name="Dezimal_Compiling Utility Macros" xfId="47" xr:uid="{785E45D4-E178-4C3C-A721-4C27B44530D7}"/>
    <cellStyle name="Divider" xfId="48" xr:uid="{BA7FCEB9-2621-4465-81A5-DEDAC9427CA8}"/>
    <cellStyle name="Excel Built-in Normal" xfId="93" xr:uid="{0571A34B-C1D9-4D25-8F41-07D53176BA21}"/>
    <cellStyle name="Explanatory Text 2" xfId="49" xr:uid="{5DF7206C-9568-40B5-95D3-1F27BE59C2D9}"/>
    <cellStyle name="Fixed" xfId="50" xr:uid="{9C6FEB14-8188-4E45-8A7E-C308DD5C43A2}"/>
    <cellStyle name="Fixed 2" xfId="51" xr:uid="{525D69F2-5391-451F-B20D-5783F4D8DD3B}"/>
    <cellStyle name="Good 2" xfId="53" xr:uid="{945DABD0-33D0-43C1-8268-FF8D9EBFFCA4}"/>
    <cellStyle name="Good 3" xfId="52" xr:uid="{3D5A1CBF-AC58-48F1-831F-E42A8EE80454}"/>
    <cellStyle name="Heading 1 2" xfId="54" xr:uid="{8FE59DFD-DC03-46B9-9405-76A06BDF28C0}"/>
    <cellStyle name="Heading 2 2" xfId="55" xr:uid="{79B0913B-C111-4B5D-BF60-8648A37A257B}"/>
    <cellStyle name="Heading 3 2" xfId="56" xr:uid="{841C669A-F6D0-47A9-8CC7-03C2CEB87EA3}"/>
    <cellStyle name="Heading 4 2" xfId="57" xr:uid="{9BF249D3-EFE6-43AB-8C20-357454CD4D05}"/>
    <cellStyle name="Heading1 1" xfId="58" xr:uid="{A819E26C-35B7-49BC-94A8-71202758CC08}"/>
    <cellStyle name="Heading1 2" xfId="59" xr:uid="{A58277A8-A8FA-4BB2-8A16-C9542DB041E7}"/>
    <cellStyle name="Heading2" xfId="60" xr:uid="{3BC493B2-2DFD-4424-8AFF-43A0FE90E5DE}"/>
    <cellStyle name="Heading2 2" xfId="61" xr:uid="{EEB64507-B636-4F80-BD92-729026FF3813}"/>
    <cellStyle name="Headline I" xfId="62" xr:uid="{7A35B43A-28D6-43E7-8873-1264017AB64B}"/>
    <cellStyle name="Headline II" xfId="63" xr:uid="{6801C6D5-763F-408C-A3DC-A8D17AF40584}"/>
    <cellStyle name="Headline III" xfId="64" xr:uid="{1B0F46B1-FE0F-45F5-A44D-14CC9BC8B7B8}"/>
    <cellStyle name="Input 2" xfId="66" xr:uid="{DD9B3F89-6938-4DD4-BA80-34BDFFEAE7C7}"/>
    <cellStyle name="Īįū÷ķūé_laroux" xfId="65" xr:uid="{2F47D0C2-06F7-4F41-AD37-EB558D655982}"/>
    <cellStyle name="labi" xfId="67" xr:uid="{BCEE0B6E-5EA4-46CD-AB2F-D958E8C0A88F}"/>
    <cellStyle name="Lietojamais" xfId="68" xr:uid="{C77D98EB-DCBF-4A74-96BC-2CCCE8311D7A}"/>
    <cellStyle name="Linked Cell 2" xfId="69" xr:uid="{B9F807DD-8C0F-49FE-9B2A-A2212DCD77F7}"/>
    <cellStyle name="Neutral 2" xfId="71" xr:uid="{3594BDE6-2DC4-44DF-A132-26EA80AB1C8D}"/>
    <cellStyle name="Neutral 3" xfId="70" xr:uid="{A8E6DD1D-767D-4D59-9455-4B15D3ACD31C}"/>
    <cellStyle name="Normaali_light-98_gun" xfId="72" xr:uid="{75D2C05E-C0D0-4F45-8DDC-07DF9C7ED67D}"/>
    <cellStyle name="Normal" xfId="0" builtinId="0"/>
    <cellStyle name="Normal 2" xfId="2" xr:uid="{7728D04F-492C-44E8-B42B-2D52765FDA4E}"/>
    <cellStyle name="Normal 2 2" xfId="73" xr:uid="{AE71D8A7-E0CF-40C7-A195-B71EF43742AE}"/>
    <cellStyle name="Normal 2 2 2" xfId="4" xr:uid="{2103099B-869B-4BD4-BC18-34D97163947F}"/>
    <cellStyle name="Normal 2 3" xfId="94" xr:uid="{8B5E9CA7-B4C4-41D3-946B-4842A83C0590}"/>
    <cellStyle name="Normal 3" xfId="74" xr:uid="{C2167B3B-7F6A-49AF-8793-15CADE5C2426}"/>
    <cellStyle name="Normal 4" xfId="75" xr:uid="{830EEE03-D598-41AE-A10D-7ACCDDF61551}"/>
    <cellStyle name="Normal 5" xfId="76" xr:uid="{8B467380-0F1A-4F0B-B11C-ED7C56617C03}"/>
    <cellStyle name="Normal 6" xfId="77" xr:uid="{92A4D1C5-C0B4-4011-A843-DAD374E3AA94}"/>
    <cellStyle name="Note 2" xfId="78" xr:uid="{C5BA95DF-94CD-4E46-85A0-C5E6B9956335}"/>
    <cellStyle name="Output 2" xfId="79" xr:uid="{DAF8EFD8-323B-4040-AFCD-2795F0D90493}"/>
    <cellStyle name="Percent" xfId="107" builtinId="5"/>
    <cellStyle name="Percent 2" xfId="80" xr:uid="{42C50CCF-9551-492B-8E20-77F819B2DCE7}"/>
    <cellStyle name="Percent 3" xfId="100" xr:uid="{97E80C1A-1DDA-4068-B9FA-B0702D279FBA}"/>
    <cellStyle name="Position" xfId="81" xr:uid="{B67D91C9-6D12-458B-8444-A366AFC3D7D8}"/>
    <cellStyle name="Standard_Anpassen der Amortisation" xfId="82" xr:uid="{531F903A-63C3-421C-8A82-6406DC3B3A03}"/>
    <cellStyle name="Style 1" xfId="83" xr:uid="{48A4A5B0-0473-458A-8721-6B1FED28CF3B}"/>
    <cellStyle name="Style 1 2" xfId="95" xr:uid="{3F5C605D-EAD9-4C3D-B790-C52B1C07C4A6}"/>
    <cellStyle name="Style 2" xfId="84" xr:uid="{168094D5-760E-457D-B313-2EA68D164109}"/>
    <cellStyle name="Title 2" xfId="85" xr:uid="{B047E44A-F3BE-4B48-A5C2-B66D9D943C74}"/>
    <cellStyle name="Total 2" xfId="86" xr:uid="{A4F1F719-9A46-49AD-8633-0C7394F86BCD}"/>
    <cellStyle name="Unit" xfId="87" xr:uid="{D312A22E-6B3A-4935-8277-C00E4CCFF602}"/>
    <cellStyle name="Währung [0]_Compiling Utility Macros" xfId="88" xr:uid="{500D09E4-DCB2-4D8E-9841-9641470863CC}"/>
    <cellStyle name="Währung_Compiling Utility Macros" xfId="89" xr:uid="{44DCE4CE-BD4B-4EFD-9386-8851FAD9BB6E}"/>
    <cellStyle name="Warning Text 2" xfId="90" xr:uid="{870FBF24-1A42-4FBE-958A-6BB298B47E95}"/>
    <cellStyle name="Обычный 2" xfId="96" xr:uid="{95E9BB04-B452-4109-B00B-BE16B403466A}"/>
    <cellStyle name="Обычный 2 2" xfId="97" xr:uid="{C5304299-8384-4E2E-9769-3C0DC12AE6AE}"/>
    <cellStyle name="Обычный 2 2 2" xfId="98" xr:uid="{4C33BAD4-6AA2-48AE-9E01-8601C81547BC}"/>
    <cellStyle name="Обычный 3" xfId="99" xr:uid="{84E28432-460C-4415-ABF0-B723296EEDBB}"/>
    <cellStyle name="Обычный_2009-04-27_PED IESN" xfId="91" xr:uid="{844259BC-AE77-48A5-BEF4-007C093826D4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  <cellStyle name="Процентный 2" xfId="101" xr:uid="{468FB4B0-F4E2-4BA8-988E-7F406235B650}"/>
    <cellStyle name="Финансовый 2" xfId="103" xr:uid="{C8DF4E62-8DAD-4652-B54A-32A96E025FB1}"/>
    <cellStyle name="Финансовый 2 2" xfId="104" xr:uid="{3F6975E6-318B-4C5B-BBEE-774781604042}"/>
    <cellStyle name="Финансовый 3" xfId="105" xr:uid="{97B67811-5F4B-40AE-A7AC-379DA1368888}"/>
    <cellStyle name="Финансовый 4" xfId="106" xr:uid="{D95825F9-E03C-44D4-AE77-21CA588F51A6}"/>
    <cellStyle name="Финансовый_VID_Rigas_Muita BST 1 un 2 karta" xfId="92" xr:uid="{E40B78D1-ACFB-4299-B809-9E17DCC7B8A2}"/>
  </cellStyles>
  <dxfs count="25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6"/>
  <sheetViews>
    <sheetView topLeftCell="A4" workbookViewId="0">
      <selection activeCell="B16" sqref="B16"/>
    </sheetView>
  </sheetViews>
  <sheetFormatPr defaultColWidth="8.77734375" defaultRowHeight="10.199999999999999"/>
  <cols>
    <col min="1" max="1" width="16.777343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777343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777343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777343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777343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777343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777343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777343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777343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777343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777343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777343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777343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777343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777343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777343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777343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777343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777343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777343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777343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777343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777343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777343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777343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777343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777343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777343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777343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777343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777343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777343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777343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777343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777343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777343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777343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777343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777343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777343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777343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777343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777343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777343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777343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777343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777343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777343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777343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777343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777343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777343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777343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777343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777343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777343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777343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777343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777343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777343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777343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777343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777343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777343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777343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777343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777343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777343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777343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777343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777343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777343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777343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777343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777343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777343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777343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777343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777343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777343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777343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777343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777343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777343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777343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777343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777343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777343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777343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777343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777343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777343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777343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777343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777343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777343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777343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777343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777343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777343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777343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777343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777343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777343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777343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777343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777343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777343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777343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777343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777343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777343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777343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777343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777343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777343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777343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777343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777343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777343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777343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777343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777343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777343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777343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777343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77734375" style="1" bestFit="1" customWidth="1"/>
    <col min="16090" max="16384" width="9.109375" style="1"/>
  </cols>
  <sheetData>
    <row r="2" spans="1:3">
      <c r="C2" s="2" t="s">
        <v>0</v>
      </c>
    </row>
    <row r="3" spans="1:3">
      <c r="A3" s="2"/>
      <c r="B3" s="3"/>
      <c r="C3" s="3"/>
    </row>
    <row r="4" spans="1:3">
      <c r="B4" s="126" t="s">
        <v>1</v>
      </c>
      <c r="C4" s="126"/>
    </row>
    <row r="5" spans="1:3">
      <c r="A5" s="2"/>
      <c r="B5" s="2"/>
      <c r="C5" s="2"/>
    </row>
    <row r="6" spans="1:3">
      <c r="C6" s="4" t="s">
        <v>2</v>
      </c>
    </row>
    <row r="8" spans="1:3">
      <c r="B8" s="127" t="s">
        <v>3</v>
      </c>
      <c r="C8" s="127"/>
    </row>
    <row r="11" spans="1:3">
      <c r="B11" s="2" t="s">
        <v>4</v>
      </c>
    </row>
    <row r="12" spans="1:3">
      <c r="B12" s="85" t="s">
        <v>52</v>
      </c>
    </row>
    <row r="13" spans="1:3">
      <c r="A13" s="4" t="s">
        <v>5</v>
      </c>
      <c r="B13" s="78" t="s">
        <v>340</v>
      </c>
      <c r="C13" s="78"/>
    </row>
    <row r="14" spans="1:3" ht="20.399999999999999">
      <c r="A14" s="4" t="s">
        <v>6</v>
      </c>
      <c r="B14" s="78" t="s">
        <v>341</v>
      </c>
      <c r="C14" s="78"/>
    </row>
    <row r="15" spans="1:3">
      <c r="A15" s="4" t="s">
        <v>7</v>
      </c>
      <c r="B15" s="77" t="s">
        <v>342</v>
      </c>
      <c r="C15" s="77"/>
    </row>
    <row r="16" spans="1:3">
      <c r="A16" s="4" t="s">
        <v>8</v>
      </c>
      <c r="B16" s="76"/>
      <c r="C16" s="76"/>
    </row>
    <row r="17" spans="1:3" ht="10.8" thickBot="1"/>
    <row r="18" spans="1:3">
      <c r="A18" s="5" t="s">
        <v>9</v>
      </c>
      <c r="B18" s="6" t="s">
        <v>10</v>
      </c>
      <c r="C18" s="7" t="s">
        <v>11</v>
      </c>
    </row>
    <row r="19" spans="1:3">
      <c r="A19" s="80">
        <v>1</v>
      </c>
      <c r="B19" s="102" t="s">
        <v>341</v>
      </c>
      <c r="C19" s="9">
        <f>'Kops a'!E28</f>
        <v>0</v>
      </c>
    </row>
    <row r="20" spans="1:3">
      <c r="A20" s="81"/>
      <c r="B20" s="82"/>
      <c r="C20" s="10"/>
    </row>
    <row r="21" spans="1:3">
      <c r="A21" s="83"/>
      <c r="B21" s="8"/>
      <c r="C21" s="10"/>
    </row>
    <row r="22" spans="1:3">
      <c r="A22" s="83"/>
      <c r="B22" s="8"/>
      <c r="C22" s="10"/>
    </row>
    <row r="23" spans="1:3">
      <c r="A23" s="83"/>
      <c r="B23" s="8"/>
      <c r="C23" s="10"/>
    </row>
    <row r="24" spans="1:3">
      <c r="A24" s="83"/>
      <c r="B24" s="8"/>
      <c r="C24" s="10"/>
    </row>
    <row r="25" spans="1:3" ht="10.8" thickBot="1">
      <c r="A25" s="84"/>
      <c r="B25" s="53"/>
      <c r="C25" s="54"/>
    </row>
    <row r="26" spans="1:3" ht="10.8" thickBot="1">
      <c r="A26" s="11"/>
      <c r="B26" s="12" t="s">
        <v>12</v>
      </c>
      <c r="C26" s="13">
        <f>SUM(C19:C25)</f>
        <v>0</v>
      </c>
    </row>
    <row r="27" spans="1:3" ht="10.8" thickBot="1">
      <c r="B27" s="14"/>
      <c r="C27" s="15"/>
    </row>
    <row r="28" spans="1:3" ht="10.8" thickBot="1">
      <c r="A28" s="128" t="s">
        <v>13</v>
      </c>
      <c r="B28" s="129"/>
      <c r="C28" s="16">
        <f>ROUND(C26*21%,2)</f>
        <v>0</v>
      </c>
    </row>
    <row r="31" spans="1:3">
      <c r="A31" s="1" t="s">
        <v>14</v>
      </c>
      <c r="B31" s="130"/>
      <c r="C31" s="130"/>
    </row>
    <row r="32" spans="1:3">
      <c r="B32" s="125" t="s">
        <v>15</v>
      </c>
      <c r="C32" s="125"/>
    </row>
    <row r="34" spans="1:3">
      <c r="A34" s="1" t="s">
        <v>53</v>
      </c>
      <c r="B34" s="17"/>
      <c r="C34" s="17"/>
    </row>
    <row r="35" spans="1:3">
      <c r="A35" s="17"/>
      <c r="B35" s="17"/>
      <c r="C35" s="17"/>
    </row>
    <row r="36" spans="1:3">
      <c r="A36" s="1" t="s">
        <v>371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49" priority="9" operator="equal">
      <formula>0</formula>
    </cfRule>
  </conditionalFormatting>
  <conditionalFormatting sqref="B13:B16">
    <cfRule type="cellIs" dxfId="248" priority="8" operator="equal">
      <formula>0</formula>
    </cfRule>
  </conditionalFormatting>
  <conditionalFormatting sqref="B19">
    <cfRule type="cellIs" dxfId="247" priority="7" operator="equal">
      <formula>0</formula>
    </cfRule>
  </conditionalFormatting>
  <conditionalFormatting sqref="B34">
    <cfRule type="cellIs" dxfId="246" priority="5" operator="equal">
      <formula>0</formula>
    </cfRule>
  </conditionalFormatting>
  <conditionalFormatting sqref="B31:C31">
    <cfRule type="cellIs" dxfId="245" priority="3" operator="equal">
      <formula>0</formula>
    </cfRule>
  </conditionalFormatting>
  <conditionalFormatting sqref="A19">
    <cfRule type="cellIs" dxfId="244" priority="2" operator="equal">
      <formula>0</formula>
    </cfRule>
  </conditionalFormatting>
  <conditionalFormatting sqref="A36">
    <cfRule type="containsText" dxfId="243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70"/>
  <sheetViews>
    <sheetView topLeftCell="A12" workbookViewId="0">
      <selection activeCell="I18" sqref="I18:I57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1.44140625" style="1" customWidth="1"/>
    <col min="4" max="4" width="4.44140625" style="1" customWidth="1"/>
    <col min="5" max="5" width="6.33203125" style="114" customWidth="1"/>
    <col min="6" max="6" width="4" style="1" customWidth="1"/>
    <col min="7" max="7" width="3.77734375" style="1" customWidth="1"/>
    <col min="8" max="8" width="4.77734375" style="1" customWidth="1"/>
    <col min="9" max="9" width="5" style="1" customWidth="1"/>
    <col min="10" max="10" width="5.33203125" style="1" customWidth="1"/>
    <col min="11" max="11" width="5" style="1" customWidth="1"/>
    <col min="12" max="12" width="5.44140625" style="1" customWidth="1"/>
    <col min="13" max="15" width="7.6640625" style="1" customWidth="1"/>
    <col min="16" max="16" width="9" style="1" customWidth="1"/>
    <col min="17" max="16384" width="9.109375" style="1"/>
  </cols>
  <sheetData>
    <row r="1" spans="1:16">
      <c r="A1" s="23"/>
      <c r="B1" s="23"/>
      <c r="C1" s="27" t="s">
        <v>38</v>
      </c>
      <c r="D1" s="52">
        <f>'Kops a'!A22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6">
      <c r="A2" s="29"/>
      <c r="B2" s="29"/>
      <c r="C2" s="180" t="s">
        <v>338</v>
      </c>
      <c r="D2" s="180"/>
      <c r="E2" s="180"/>
      <c r="F2" s="180"/>
      <c r="G2" s="180"/>
      <c r="H2" s="180"/>
      <c r="I2" s="180"/>
      <c r="J2" s="29"/>
    </row>
    <row r="3" spans="1:16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6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6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6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6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6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6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P58</f>
        <v>0</v>
      </c>
      <c r="O9" s="192"/>
      <c r="P9" s="31"/>
    </row>
    <row r="10" spans="1:16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A64</f>
        <v>Tāme sastādīta</v>
      </c>
    </row>
    <row r="11" spans="1:16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6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>
      <c r="A14" s="38"/>
      <c r="B14" s="39"/>
      <c r="C14" s="94" t="s">
        <v>232</v>
      </c>
      <c r="D14" s="24"/>
      <c r="E14" s="112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>
      <c r="A15" s="38">
        <v>1</v>
      </c>
      <c r="B15" s="39" t="s">
        <v>79</v>
      </c>
      <c r="C15" s="47" t="s">
        <v>353</v>
      </c>
      <c r="D15" s="24" t="s">
        <v>71</v>
      </c>
      <c r="E15" s="106">
        <f>SUM(E18:E23)</f>
        <v>276</v>
      </c>
      <c r="F15" s="67"/>
      <c r="G15" s="64"/>
      <c r="H15" s="48">
        <f t="shared" ref="H15:H16" si="0">ROUND(G15*F15,2)</f>
        <v>0</v>
      </c>
      <c r="I15" s="64"/>
      <c r="J15" s="64">
        <f t="shared" ref="J15:J16" si="1">0.1*H15</f>
        <v>0</v>
      </c>
      <c r="K15" s="49">
        <f t="shared" ref="K15:K57" si="2">SUM(H15:J15)</f>
        <v>0</v>
      </c>
      <c r="L15" s="50">
        <f t="shared" ref="L15:L57" si="3">ROUND(E15*F15,2)</f>
        <v>0</v>
      </c>
      <c r="M15" s="48">
        <f t="shared" ref="M15:M57" si="4">ROUND(H15*E15,2)</f>
        <v>0</v>
      </c>
      <c r="N15" s="48">
        <f t="shared" ref="N15:N57" si="5">ROUND(I15*E15,2)</f>
        <v>0</v>
      </c>
      <c r="O15" s="48">
        <f t="shared" ref="O15:O57" si="6">ROUND(J15*E15,2)</f>
        <v>0</v>
      </c>
      <c r="P15" s="49">
        <f t="shared" ref="P15:P57" si="7">SUM(M15:O15)</f>
        <v>0</v>
      </c>
    </row>
    <row r="16" spans="1:16" ht="20.399999999999999">
      <c r="A16" s="38">
        <v>2</v>
      </c>
      <c r="B16" s="39" t="s">
        <v>79</v>
      </c>
      <c r="C16" s="47" t="s">
        <v>233</v>
      </c>
      <c r="D16" s="24" t="s">
        <v>101</v>
      </c>
      <c r="E16" s="106">
        <v>1</v>
      </c>
      <c r="F16" s="67"/>
      <c r="G16" s="64"/>
      <c r="H16" s="48">
        <f t="shared" si="0"/>
        <v>0</v>
      </c>
      <c r="I16" s="64"/>
      <c r="J16" s="64">
        <f t="shared" si="1"/>
        <v>0</v>
      </c>
      <c r="K16" s="49">
        <f t="shared" si="2"/>
        <v>0</v>
      </c>
      <c r="L16" s="50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9">
        <f t="shared" si="7"/>
        <v>0</v>
      </c>
    </row>
    <row r="17" spans="1:16" ht="20.399999999999999">
      <c r="A17" s="38">
        <v>3</v>
      </c>
      <c r="B17" s="39" t="s">
        <v>79</v>
      </c>
      <c r="C17" s="47" t="s">
        <v>234</v>
      </c>
      <c r="D17" s="24" t="s">
        <v>71</v>
      </c>
      <c r="E17" s="106">
        <v>552</v>
      </c>
      <c r="F17" s="67"/>
      <c r="G17" s="64"/>
      <c r="H17" s="48">
        <f>ROUND(G17*F17,2)</f>
        <v>0</v>
      </c>
      <c r="I17" s="64"/>
      <c r="J17" s="64">
        <f>ROUND(H17*6%,2)</f>
        <v>0</v>
      </c>
      <c r="K17" s="49">
        <f t="shared" si="2"/>
        <v>0</v>
      </c>
      <c r="L17" s="50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9">
        <f t="shared" si="7"/>
        <v>0</v>
      </c>
    </row>
    <row r="18" spans="1:16" ht="40.799999999999997">
      <c r="A18" s="38">
        <v>4</v>
      </c>
      <c r="B18" s="39" t="s">
        <v>235</v>
      </c>
      <c r="C18" s="47" t="s">
        <v>236</v>
      </c>
      <c r="D18" s="24" t="s">
        <v>101</v>
      </c>
      <c r="E18" s="106">
        <v>43</v>
      </c>
      <c r="F18" s="67"/>
      <c r="G18" s="64"/>
      <c r="H18" s="48">
        <f t="shared" ref="H18:H27" si="8">ROUND(G18*F18,2)</f>
        <v>0</v>
      </c>
      <c r="I18" s="64"/>
      <c r="J18" s="64">
        <f t="shared" ref="J18:J29" si="9">0.1*H18</f>
        <v>0</v>
      </c>
      <c r="K18" s="49">
        <f t="shared" si="2"/>
        <v>0</v>
      </c>
      <c r="L18" s="50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9">
        <f t="shared" si="7"/>
        <v>0</v>
      </c>
    </row>
    <row r="19" spans="1:16" ht="40.799999999999997">
      <c r="A19" s="38">
        <v>5</v>
      </c>
      <c r="B19" s="39" t="s">
        <v>235</v>
      </c>
      <c r="C19" s="47" t="s">
        <v>237</v>
      </c>
      <c r="D19" s="24" t="s">
        <v>101</v>
      </c>
      <c r="E19" s="106">
        <v>72</v>
      </c>
      <c r="F19" s="67"/>
      <c r="G19" s="64"/>
      <c r="H19" s="48">
        <f t="shared" si="8"/>
        <v>0</v>
      </c>
      <c r="I19" s="64"/>
      <c r="J19" s="64">
        <f t="shared" si="9"/>
        <v>0</v>
      </c>
      <c r="K19" s="49">
        <f t="shared" si="2"/>
        <v>0</v>
      </c>
      <c r="L19" s="50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9">
        <f t="shared" si="7"/>
        <v>0</v>
      </c>
    </row>
    <row r="20" spans="1:16" ht="40.799999999999997">
      <c r="A20" s="38">
        <v>6</v>
      </c>
      <c r="B20" s="39" t="s">
        <v>235</v>
      </c>
      <c r="C20" s="47" t="s">
        <v>238</v>
      </c>
      <c r="D20" s="24" t="s">
        <v>101</v>
      </c>
      <c r="E20" s="106">
        <v>50</v>
      </c>
      <c r="F20" s="67"/>
      <c r="G20" s="64"/>
      <c r="H20" s="48">
        <f t="shared" si="8"/>
        <v>0</v>
      </c>
      <c r="I20" s="64"/>
      <c r="J20" s="64">
        <f t="shared" si="9"/>
        <v>0</v>
      </c>
      <c r="K20" s="49">
        <f t="shared" si="2"/>
        <v>0</v>
      </c>
      <c r="L20" s="50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9">
        <f t="shared" si="7"/>
        <v>0</v>
      </c>
    </row>
    <row r="21" spans="1:16" ht="40.799999999999997">
      <c r="A21" s="38">
        <v>7</v>
      </c>
      <c r="B21" s="39" t="s">
        <v>235</v>
      </c>
      <c r="C21" s="47" t="s">
        <v>239</v>
      </c>
      <c r="D21" s="24" t="s">
        <v>101</v>
      </c>
      <c r="E21" s="106">
        <v>90</v>
      </c>
      <c r="F21" s="67"/>
      <c r="G21" s="64"/>
      <c r="H21" s="48">
        <f t="shared" si="8"/>
        <v>0</v>
      </c>
      <c r="I21" s="64"/>
      <c r="J21" s="64">
        <f t="shared" si="9"/>
        <v>0</v>
      </c>
      <c r="K21" s="49">
        <f t="shared" si="2"/>
        <v>0</v>
      </c>
      <c r="L21" s="50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9">
        <f t="shared" si="7"/>
        <v>0</v>
      </c>
    </row>
    <row r="22" spans="1:16" ht="40.799999999999997">
      <c r="A22" s="38">
        <v>8</v>
      </c>
      <c r="B22" s="39" t="s">
        <v>235</v>
      </c>
      <c r="C22" s="47" t="s">
        <v>240</v>
      </c>
      <c r="D22" s="24" t="s">
        <v>101</v>
      </c>
      <c r="E22" s="106">
        <v>15</v>
      </c>
      <c r="F22" s="67"/>
      <c r="G22" s="64"/>
      <c r="H22" s="48">
        <f t="shared" si="8"/>
        <v>0</v>
      </c>
      <c r="I22" s="64"/>
      <c r="J22" s="64">
        <f t="shared" si="9"/>
        <v>0</v>
      </c>
      <c r="K22" s="49">
        <f t="shared" si="2"/>
        <v>0</v>
      </c>
      <c r="L22" s="50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9">
        <f t="shared" si="7"/>
        <v>0</v>
      </c>
    </row>
    <row r="23" spans="1:16" ht="46.8">
      <c r="A23" s="38">
        <v>9</v>
      </c>
      <c r="B23" s="39" t="s">
        <v>235</v>
      </c>
      <c r="C23" s="47" t="s">
        <v>354</v>
      </c>
      <c r="D23" s="24" t="s">
        <v>101</v>
      </c>
      <c r="E23" s="106">
        <v>6</v>
      </c>
      <c r="F23" s="67"/>
      <c r="G23" s="64"/>
      <c r="H23" s="48">
        <f t="shared" si="8"/>
        <v>0</v>
      </c>
      <c r="I23" s="64"/>
      <c r="J23" s="64">
        <f t="shared" si="9"/>
        <v>0</v>
      </c>
      <c r="K23" s="49">
        <f t="shared" si="2"/>
        <v>0</v>
      </c>
      <c r="L23" s="50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9">
        <f t="shared" si="7"/>
        <v>0</v>
      </c>
    </row>
    <row r="24" spans="1:16" ht="20.399999999999999">
      <c r="A24" s="38">
        <v>10</v>
      </c>
      <c r="B24" s="39" t="s">
        <v>235</v>
      </c>
      <c r="C24" s="47" t="s">
        <v>299</v>
      </c>
      <c r="D24" s="24" t="s">
        <v>101</v>
      </c>
      <c r="E24" s="106">
        <v>276</v>
      </c>
      <c r="F24" s="67"/>
      <c r="G24" s="64"/>
      <c r="H24" s="48">
        <f t="shared" si="8"/>
        <v>0</v>
      </c>
      <c r="I24" s="64"/>
      <c r="J24" s="64">
        <f t="shared" si="9"/>
        <v>0</v>
      </c>
      <c r="K24" s="49">
        <f t="shared" si="2"/>
        <v>0</v>
      </c>
      <c r="L24" s="50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9">
        <f t="shared" si="7"/>
        <v>0</v>
      </c>
    </row>
    <row r="25" spans="1:16" ht="20.399999999999999">
      <c r="A25" s="38">
        <v>11</v>
      </c>
      <c r="B25" s="39" t="s">
        <v>235</v>
      </c>
      <c r="C25" s="47" t="s">
        <v>300</v>
      </c>
      <c r="D25" s="24" t="s">
        <v>101</v>
      </c>
      <c r="E25" s="106">
        <v>276</v>
      </c>
      <c r="F25" s="67"/>
      <c r="G25" s="64"/>
      <c r="H25" s="48">
        <f t="shared" si="8"/>
        <v>0</v>
      </c>
      <c r="I25" s="64"/>
      <c r="J25" s="64">
        <f t="shared" si="9"/>
        <v>0</v>
      </c>
      <c r="K25" s="49">
        <f t="shared" si="2"/>
        <v>0</v>
      </c>
      <c r="L25" s="50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9">
        <f t="shared" si="7"/>
        <v>0</v>
      </c>
    </row>
    <row r="26" spans="1:16" ht="20.399999999999999">
      <c r="A26" s="38">
        <v>12</v>
      </c>
      <c r="B26" s="39" t="s">
        <v>235</v>
      </c>
      <c r="C26" s="47" t="s">
        <v>301</v>
      </c>
      <c r="D26" s="24" t="s">
        <v>71</v>
      </c>
      <c r="E26" s="106">
        <v>276</v>
      </c>
      <c r="F26" s="67"/>
      <c r="G26" s="64"/>
      <c r="H26" s="48">
        <f t="shared" si="8"/>
        <v>0</v>
      </c>
      <c r="I26" s="64"/>
      <c r="J26" s="64">
        <f t="shared" si="9"/>
        <v>0</v>
      </c>
      <c r="K26" s="49">
        <f t="shared" si="2"/>
        <v>0</v>
      </c>
      <c r="L26" s="50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9">
        <f t="shared" si="7"/>
        <v>0</v>
      </c>
    </row>
    <row r="27" spans="1:16" ht="20.399999999999999">
      <c r="A27" s="38">
        <v>13</v>
      </c>
      <c r="B27" s="39" t="s">
        <v>235</v>
      </c>
      <c r="C27" s="47" t="s">
        <v>241</v>
      </c>
      <c r="D27" s="24" t="s">
        <v>71</v>
      </c>
      <c r="E27" s="106">
        <v>54</v>
      </c>
      <c r="F27" s="67"/>
      <c r="G27" s="64"/>
      <c r="H27" s="48">
        <f t="shared" si="8"/>
        <v>0</v>
      </c>
      <c r="I27" s="64"/>
      <c r="J27" s="64">
        <f t="shared" si="9"/>
        <v>0</v>
      </c>
      <c r="K27" s="49">
        <f t="shared" si="2"/>
        <v>0</v>
      </c>
      <c r="L27" s="50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9">
        <f t="shared" si="7"/>
        <v>0</v>
      </c>
    </row>
    <row r="28" spans="1:16" ht="20.399999999999999">
      <c r="A28" s="38">
        <v>14</v>
      </c>
      <c r="B28" s="39" t="s">
        <v>235</v>
      </c>
      <c r="C28" s="47" t="s">
        <v>302</v>
      </c>
      <c r="D28" s="24" t="s">
        <v>101</v>
      </c>
      <c r="E28" s="106">
        <v>29</v>
      </c>
      <c r="F28" s="67"/>
      <c r="G28" s="64"/>
      <c r="H28" s="48">
        <f t="shared" ref="H28:H29" si="10">ROUND(F28*G28,2)</f>
        <v>0</v>
      </c>
      <c r="I28" s="64"/>
      <c r="J28" s="64">
        <f t="shared" si="9"/>
        <v>0</v>
      </c>
      <c r="K28" s="49">
        <f t="shared" si="2"/>
        <v>0</v>
      </c>
      <c r="L28" s="50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9">
        <f t="shared" si="7"/>
        <v>0</v>
      </c>
    </row>
    <row r="29" spans="1:16" ht="20.399999999999999">
      <c r="A29" s="38">
        <v>15</v>
      </c>
      <c r="B29" s="39" t="s">
        <v>235</v>
      </c>
      <c r="C29" s="47" t="s">
        <v>303</v>
      </c>
      <c r="D29" s="24" t="s">
        <v>101</v>
      </c>
      <c r="E29" s="106">
        <v>31</v>
      </c>
      <c r="F29" s="67"/>
      <c r="G29" s="64"/>
      <c r="H29" s="48">
        <f t="shared" si="10"/>
        <v>0</v>
      </c>
      <c r="I29" s="64"/>
      <c r="J29" s="64">
        <f t="shared" si="9"/>
        <v>0</v>
      </c>
      <c r="K29" s="49">
        <f t="shared" si="2"/>
        <v>0</v>
      </c>
      <c r="L29" s="50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9">
        <f t="shared" si="7"/>
        <v>0</v>
      </c>
    </row>
    <row r="30" spans="1:16" ht="20.399999999999999">
      <c r="A30" s="38">
        <v>16</v>
      </c>
      <c r="B30" s="39" t="s">
        <v>235</v>
      </c>
      <c r="C30" s="47" t="s">
        <v>304</v>
      </c>
      <c r="D30" s="24" t="s">
        <v>101</v>
      </c>
      <c r="E30" s="106">
        <v>132</v>
      </c>
      <c r="F30" s="67"/>
      <c r="G30" s="64"/>
      <c r="H30" s="48">
        <f t="shared" ref="H30:H34" si="11">ROUND(G30*F30,2)</f>
        <v>0</v>
      </c>
      <c r="I30" s="64"/>
      <c r="J30" s="64">
        <f t="shared" ref="J30:J36" si="12">0.1*H30</f>
        <v>0</v>
      </c>
      <c r="K30" s="49">
        <f t="shared" si="2"/>
        <v>0</v>
      </c>
      <c r="L30" s="50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9">
        <f t="shared" si="7"/>
        <v>0</v>
      </c>
    </row>
    <row r="31" spans="1:16" ht="20.399999999999999">
      <c r="A31" s="38">
        <v>17</v>
      </c>
      <c r="B31" s="39" t="s">
        <v>235</v>
      </c>
      <c r="C31" s="47" t="s">
        <v>305</v>
      </c>
      <c r="D31" s="24" t="s">
        <v>101</v>
      </c>
      <c r="E31" s="106">
        <v>108</v>
      </c>
      <c r="F31" s="67"/>
      <c r="G31" s="64"/>
      <c r="H31" s="48">
        <f t="shared" si="11"/>
        <v>0</v>
      </c>
      <c r="I31" s="64"/>
      <c r="J31" s="64">
        <f t="shared" si="12"/>
        <v>0</v>
      </c>
      <c r="K31" s="49">
        <f t="shared" si="2"/>
        <v>0</v>
      </c>
      <c r="L31" s="50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9">
        <f t="shared" si="7"/>
        <v>0</v>
      </c>
    </row>
    <row r="32" spans="1:16" ht="20.399999999999999">
      <c r="A32" s="38">
        <v>18</v>
      </c>
      <c r="B32" s="39" t="s">
        <v>235</v>
      </c>
      <c r="C32" s="47" t="s">
        <v>242</v>
      </c>
      <c r="D32" s="24" t="s">
        <v>101</v>
      </c>
      <c r="E32" s="106">
        <v>270</v>
      </c>
      <c r="F32" s="67"/>
      <c r="G32" s="64"/>
      <c r="H32" s="48">
        <f t="shared" si="11"/>
        <v>0</v>
      </c>
      <c r="I32" s="64"/>
      <c r="J32" s="64">
        <f t="shared" si="12"/>
        <v>0</v>
      </c>
      <c r="K32" s="49">
        <f t="shared" si="2"/>
        <v>0</v>
      </c>
      <c r="L32" s="50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9">
        <f t="shared" si="7"/>
        <v>0</v>
      </c>
    </row>
    <row r="33" spans="1:16" ht="20.399999999999999">
      <c r="A33" s="38">
        <v>19</v>
      </c>
      <c r="B33" s="39" t="s">
        <v>235</v>
      </c>
      <c r="C33" s="47" t="s">
        <v>297</v>
      </c>
      <c r="D33" s="24" t="s">
        <v>57</v>
      </c>
      <c r="E33" s="106">
        <v>1350</v>
      </c>
      <c r="F33" s="67"/>
      <c r="G33" s="64"/>
      <c r="H33" s="48">
        <f t="shared" si="11"/>
        <v>0</v>
      </c>
      <c r="I33" s="64"/>
      <c r="J33" s="64">
        <f t="shared" si="12"/>
        <v>0</v>
      </c>
      <c r="K33" s="49">
        <f t="shared" si="2"/>
        <v>0</v>
      </c>
      <c r="L33" s="50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9">
        <f t="shared" si="7"/>
        <v>0</v>
      </c>
    </row>
    <row r="34" spans="1:16" ht="20.399999999999999">
      <c r="A34" s="38">
        <v>20</v>
      </c>
      <c r="B34" s="39" t="s">
        <v>235</v>
      </c>
      <c r="C34" s="47" t="s">
        <v>298</v>
      </c>
      <c r="D34" s="24" t="s">
        <v>57</v>
      </c>
      <c r="E34" s="106">
        <v>950</v>
      </c>
      <c r="F34" s="67"/>
      <c r="G34" s="64"/>
      <c r="H34" s="48">
        <f t="shared" si="11"/>
        <v>0</v>
      </c>
      <c r="I34" s="64"/>
      <c r="J34" s="64">
        <f t="shared" si="12"/>
        <v>0</v>
      </c>
      <c r="K34" s="49">
        <f t="shared" si="2"/>
        <v>0</v>
      </c>
      <c r="L34" s="50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9">
        <f t="shared" si="7"/>
        <v>0</v>
      </c>
    </row>
    <row r="35" spans="1:16" ht="20.399999999999999">
      <c r="A35" s="38">
        <v>21</v>
      </c>
      <c r="B35" s="39" t="s">
        <v>235</v>
      </c>
      <c r="C35" s="47" t="s">
        <v>243</v>
      </c>
      <c r="D35" s="24" t="s">
        <v>71</v>
      </c>
      <c r="E35" s="106">
        <f>E17</f>
        <v>552</v>
      </c>
      <c r="F35" s="67"/>
      <c r="G35" s="64"/>
      <c r="H35" s="48">
        <f t="shared" ref="H35" si="13">ROUND(F35*G35,2)</f>
        <v>0</v>
      </c>
      <c r="I35" s="64"/>
      <c r="J35" s="64">
        <f t="shared" si="12"/>
        <v>0</v>
      </c>
      <c r="K35" s="49">
        <f t="shared" si="2"/>
        <v>0</v>
      </c>
      <c r="L35" s="50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9">
        <f t="shared" si="7"/>
        <v>0</v>
      </c>
    </row>
    <row r="36" spans="1:16" ht="20.399999999999999">
      <c r="A36" s="38">
        <v>22</v>
      </c>
      <c r="B36" s="39" t="s">
        <v>235</v>
      </c>
      <c r="C36" s="47" t="s">
        <v>244</v>
      </c>
      <c r="D36" s="24" t="s">
        <v>101</v>
      </c>
      <c r="E36" s="106">
        <v>1</v>
      </c>
      <c r="F36" s="67"/>
      <c r="G36" s="64"/>
      <c r="H36" s="48">
        <f t="shared" ref="H36:H37" si="14">ROUND(F36*G36,2)</f>
        <v>0</v>
      </c>
      <c r="I36" s="64"/>
      <c r="J36" s="64">
        <f t="shared" si="12"/>
        <v>0</v>
      </c>
      <c r="K36" s="49">
        <f t="shared" si="2"/>
        <v>0</v>
      </c>
      <c r="L36" s="50">
        <f t="shared" si="3"/>
        <v>0</v>
      </c>
      <c r="M36" s="48">
        <f t="shared" si="4"/>
        <v>0</v>
      </c>
      <c r="N36" s="48">
        <f t="shared" si="5"/>
        <v>0</v>
      </c>
      <c r="O36" s="48">
        <f t="shared" si="6"/>
        <v>0</v>
      </c>
      <c r="P36" s="49">
        <f t="shared" si="7"/>
        <v>0</v>
      </c>
    </row>
    <row r="37" spans="1:16">
      <c r="A37" s="38"/>
      <c r="B37" s="39"/>
      <c r="C37" s="97" t="s">
        <v>245</v>
      </c>
      <c r="D37" s="24"/>
      <c r="E37" s="106"/>
      <c r="F37" s="67"/>
      <c r="G37" s="64"/>
      <c r="H37" s="48">
        <f t="shared" si="14"/>
        <v>0</v>
      </c>
      <c r="I37" s="64"/>
      <c r="J37" s="64"/>
      <c r="K37" s="49">
        <f t="shared" si="2"/>
        <v>0</v>
      </c>
      <c r="L37" s="50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9">
        <f t="shared" si="7"/>
        <v>0</v>
      </c>
    </row>
    <row r="38" spans="1:16" ht="20.399999999999999">
      <c r="A38" s="38">
        <v>23</v>
      </c>
      <c r="B38" s="39" t="s">
        <v>235</v>
      </c>
      <c r="C38" s="47" t="s">
        <v>287</v>
      </c>
      <c r="D38" s="24" t="s">
        <v>57</v>
      </c>
      <c r="E38" s="106">
        <v>70</v>
      </c>
      <c r="F38" s="67"/>
      <c r="G38" s="64"/>
      <c r="H38" s="48">
        <f t="shared" ref="H38:H46" si="15">ROUND(G38*F38,2)</f>
        <v>0</v>
      </c>
      <c r="I38" s="64"/>
      <c r="J38" s="64">
        <f t="shared" ref="J38:J46" si="16">0.1*H38</f>
        <v>0</v>
      </c>
      <c r="K38" s="49">
        <f t="shared" si="2"/>
        <v>0</v>
      </c>
      <c r="L38" s="50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9">
        <f t="shared" si="7"/>
        <v>0</v>
      </c>
    </row>
    <row r="39" spans="1:16" ht="20.399999999999999">
      <c r="A39" s="38">
        <v>24</v>
      </c>
      <c r="B39" s="39" t="s">
        <v>235</v>
      </c>
      <c r="C39" s="47" t="s">
        <v>288</v>
      </c>
      <c r="D39" s="24" t="s">
        <v>57</v>
      </c>
      <c r="E39" s="106">
        <v>440</v>
      </c>
      <c r="F39" s="67"/>
      <c r="G39" s="64"/>
      <c r="H39" s="48">
        <f t="shared" si="15"/>
        <v>0</v>
      </c>
      <c r="I39" s="64"/>
      <c r="J39" s="64">
        <f t="shared" si="16"/>
        <v>0</v>
      </c>
      <c r="K39" s="49">
        <f t="shared" si="2"/>
        <v>0</v>
      </c>
      <c r="L39" s="50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9">
        <f t="shared" si="7"/>
        <v>0</v>
      </c>
    </row>
    <row r="40" spans="1:16" ht="20.399999999999999">
      <c r="A40" s="38">
        <v>25</v>
      </c>
      <c r="B40" s="39" t="s">
        <v>235</v>
      </c>
      <c r="C40" s="47" t="s">
        <v>289</v>
      </c>
      <c r="D40" s="24" t="s">
        <v>57</v>
      </c>
      <c r="E40" s="106">
        <v>130</v>
      </c>
      <c r="F40" s="67"/>
      <c r="G40" s="64"/>
      <c r="H40" s="48">
        <f t="shared" si="15"/>
        <v>0</v>
      </c>
      <c r="I40" s="64"/>
      <c r="J40" s="64">
        <f t="shared" si="16"/>
        <v>0</v>
      </c>
      <c r="K40" s="49">
        <f t="shared" si="2"/>
        <v>0</v>
      </c>
      <c r="L40" s="50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9">
        <f t="shared" si="7"/>
        <v>0</v>
      </c>
    </row>
    <row r="41" spans="1:16" ht="20.399999999999999">
      <c r="A41" s="38">
        <v>26</v>
      </c>
      <c r="B41" s="39" t="s">
        <v>235</v>
      </c>
      <c r="C41" s="47" t="s">
        <v>290</v>
      </c>
      <c r="D41" s="24" t="s">
        <v>57</v>
      </c>
      <c r="E41" s="106">
        <v>250</v>
      </c>
      <c r="F41" s="67"/>
      <c r="G41" s="64"/>
      <c r="H41" s="48">
        <f t="shared" si="15"/>
        <v>0</v>
      </c>
      <c r="I41" s="64"/>
      <c r="J41" s="64">
        <f t="shared" si="16"/>
        <v>0</v>
      </c>
      <c r="K41" s="49">
        <f t="shared" si="2"/>
        <v>0</v>
      </c>
      <c r="L41" s="50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9">
        <f t="shared" si="7"/>
        <v>0</v>
      </c>
    </row>
    <row r="42" spans="1:16" ht="20.399999999999999">
      <c r="A42" s="38">
        <v>27</v>
      </c>
      <c r="B42" s="39" t="s">
        <v>235</v>
      </c>
      <c r="C42" s="47" t="s">
        <v>291</v>
      </c>
      <c r="D42" s="24" t="s">
        <v>57</v>
      </c>
      <c r="E42" s="106">
        <v>70</v>
      </c>
      <c r="F42" s="67"/>
      <c r="G42" s="64"/>
      <c r="H42" s="48">
        <f t="shared" si="15"/>
        <v>0</v>
      </c>
      <c r="I42" s="64"/>
      <c r="J42" s="64">
        <f t="shared" si="16"/>
        <v>0</v>
      </c>
      <c r="K42" s="49">
        <f t="shared" si="2"/>
        <v>0</v>
      </c>
      <c r="L42" s="50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9">
        <f t="shared" si="7"/>
        <v>0</v>
      </c>
    </row>
    <row r="43" spans="1:16" ht="20.399999999999999">
      <c r="A43" s="38">
        <v>28</v>
      </c>
      <c r="B43" s="39" t="s">
        <v>235</v>
      </c>
      <c r="C43" s="47" t="s">
        <v>292</v>
      </c>
      <c r="D43" s="24" t="s">
        <v>57</v>
      </c>
      <c r="E43" s="106">
        <v>130</v>
      </c>
      <c r="F43" s="67"/>
      <c r="G43" s="64"/>
      <c r="H43" s="48">
        <f t="shared" si="15"/>
        <v>0</v>
      </c>
      <c r="I43" s="64"/>
      <c r="J43" s="64">
        <f t="shared" si="16"/>
        <v>0</v>
      </c>
      <c r="K43" s="49">
        <f t="shared" si="2"/>
        <v>0</v>
      </c>
      <c r="L43" s="50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9">
        <f t="shared" si="7"/>
        <v>0</v>
      </c>
    </row>
    <row r="44" spans="1:16" ht="20.399999999999999">
      <c r="A44" s="38">
        <v>29</v>
      </c>
      <c r="B44" s="39" t="s">
        <v>235</v>
      </c>
      <c r="C44" s="47" t="s">
        <v>293</v>
      </c>
      <c r="D44" s="24" t="s">
        <v>57</v>
      </c>
      <c r="E44" s="106">
        <v>60</v>
      </c>
      <c r="F44" s="67"/>
      <c r="G44" s="64"/>
      <c r="H44" s="48">
        <f t="shared" si="15"/>
        <v>0</v>
      </c>
      <c r="I44" s="64"/>
      <c r="J44" s="64">
        <f t="shared" si="16"/>
        <v>0</v>
      </c>
      <c r="K44" s="49">
        <f t="shared" si="2"/>
        <v>0</v>
      </c>
      <c r="L44" s="50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9">
        <f t="shared" si="7"/>
        <v>0</v>
      </c>
    </row>
    <row r="45" spans="1:16" ht="20.399999999999999">
      <c r="A45" s="38">
        <v>30</v>
      </c>
      <c r="B45" s="39" t="s">
        <v>235</v>
      </c>
      <c r="C45" s="47" t="s">
        <v>294</v>
      </c>
      <c r="D45" s="24" t="s">
        <v>71</v>
      </c>
      <c r="E45" s="106">
        <v>16</v>
      </c>
      <c r="F45" s="67"/>
      <c r="G45" s="64"/>
      <c r="H45" s="48">
        <f t="shared" si="15"/>
        <v>0</v>
      </c>
      <c r="I45" s="64"/>
      <c r="J45" s="64">
        <f t="shared" si="16"/>
        <v>0</v>
      </c>
      <c r="K45" s="49">
        <f t="shared" si="2"/>
        <v>0</v>
      </c>
      <c r="L45" s="50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9">
        <f t="shared" si="7"/>
        <v>0</v>
      </c>
    </row>
    <row r="46" spans="1:16" ht="20.399999999999999">
      <c r="A46" s="38">
        <v>31</v>
      </c>
      <c r="B46" s="39" t="s">
        <v>235</v>
      </c>
      <c r="C46" s="47" t="s">
        <v>295</v>
      </c>
      <c r="D46" s="24" t="s">
        <v>71</v>
      </c>
      <c r="E46" s="106">
        <v>2</v>
      </c>
      <c r="F46" s="67"/>
      <c r="G46" s="64"/>
      <c r="H46" s="48">
        <f t="shared" si="15"/>
        <v>0</v>
      </c>
      <c r="I46" s="64"/>
      <c r="J46" s="64">
        <f t="shared" si="16"/>
        <v>0</v>
      </c>
      <c r="K46" s="49">
        <f t="shared" si="2"/>
        <v>0</v>
      </c>
      <c r="L46" s="50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9">
        <f t="shared" si="7"/>
        <v>0</v>
      </c>
    </row>
    <row r="47" spans="1:16" ht="20.399999999999999">
      <c r="A47" s="38">
        <v>32</v>
      </c>
      <c r="B47" s="39" t="s">
        <v>235</v>
      </c>
      <c r="C47" s="47" t="s">
        <v>296</v>
      </c>
      <c r="D47" s="24" t="s">
        <v>71</v>
      </c>
      <c r="E47" s="106">
        <v>18</v>
      </c>
      <c r="F47" s="67"/>
      <c r="G47" s="64"/>
      <c r="H47" s="48">
        <f>ROUND(F47*G47,2)</f>
        <v>0</v>
      </c>
      <c r="I47" s="64"/>
      <c r="J47" s="64">
        <f>ROUND(H47*0.07,2)</f>
        <v>0</v>
      </c>
      <c r="K47" s="49">
        <f t="shared" si="2"/>
        <v>0</v>
      </c>
      <c r="L47" s="50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9">
        <f t="shared" si="7"/>
        <v>0</v>
      </c>
    </row>
    <row r="48" spans="1:16" ht="30.6">
      <c r="A48" s="38">
        <v>33</v>
      </c>
      <c r="B48" s="39" t="s">
        <v>235</v>
      </c>
      <c r="C48" s="47" t="s">
        <v>280</v>
      </c>
      <c r="D48" s="24" t="s">
        <v>57</v>
      </c>
      <c r="E48" s="106">
        <v>70</v>
      </c>
      <c r="F48" s="67"/>
      <c r="G48" s="64"/>
      <c r="H48" s="48">
        <f t="shared" ref="H48:H55" si="17">ROUND(G48*F48,2)</f>
        <v>0</v>
      </c>
      <c r="I48" s="64"/>
      <c r="J48" s="64">
        <f t="shared" ref="J48:J55" si="18">0.1*H48</f>
        <v>0</v>
      </c>
      <c r="K48" s="49">
        <f t="shared" si="2"/>
        <v>0</v>
      </c>
      <c r="L48" s="50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9">
        <f t="shared" si="7"/>
        <v>0</v>
      </c>
    </row>
    <row r="49" spans="1:16" ht="30.6">
      <c r="A49" s="38">
        <v>34</v>
      </c>
      <c r="B49" s="39" t="s">
        <v>235</v>
      </c>
      <c r="C49" s="47" t="s">
        <v>281</v>
      </c>
      <c r="D49" s="24" t="s">
        <v>57</v>
      </c>
      <c r="E49" s="106">
        <v>440</v>
      </c>
      <c r="F49" s="67"/>
      <c r="G49" s="64"/>
      <c r="H49" s="48">
        <f t="shared" si="17"/>
        <v>0</v>
      </c>
      <c r="I49" s="64"/>
      <c r="J49" s="64">
        <f t="shared" si="18"/>
        <v>0</v>
      </c>
      <c r="K49" s="49">
        <f t="shared" si="2"/>
        <v>0</v>
      </c>
      <c r="L49" s="50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9">
        <f t="shared" si="7"/>
        <v>0</v>
      </c>
    </row>
    <row r="50" spans="1:16" ht="30.6">
      <c r="A50" s="38">
        <v>35</v>
      </c>
      <c r="B50" s="39" t="s">
        <v>235</v>
      </c>
      <c r="C50" s="47" t="s">
        <v>282</v>
      </c>
      <c r="D50" s="24" t="s">
        <v>57</v>
      </c>
      <c r="E50" s="106">
        <v>130</v>
      </c>
      <c r="F50" s="67"/>
      <c r="G50" s="64"/>
      <c r="H50" s="48">
        <f t="shared" si="17"/>
        <v>0</v>
      </c>
      <c r="I50" s="64"/>
      <c r="J50" s="64">
        <f t="shared" si="18"/>
        <v>0</v>
      </c>
      <c r="K50" s="49">
        <f t="shared" si="2"/>
        <v>0</v>
      </c>
      <c r="L50" s="50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9">
        <f t="shared" si="7"/>
        <v>0</v>
      </c>
    </row>
    <row r="51" spans="1:16" ht="30.6">
      <c r="A51" s="38">
        <v>36</v>
      </c>
      <c r="B51" s="39" t="s">
        <v>235</v>
      </c>
      <c r="C51" s="47" t="s">
        <v>283</v>
      </c>
      <c r="D51" s="24" t="s">
        <v>57</v>
      </c>
      <c r="E51" s="106">
        <v>250</v>
      </c>
      <c r="F51" s="67"/>
      <c r="G51" s="64"/>
      <c r="H51" s="48">
        <f t="shared" si="17"/>
        <v>0</v>
      </c>
      <c r="I51" s="64"/>
      <c r="J51" s="64">
        <f t="shared" si="18"/>
        <v>0</v>
      </c>
      <c r="K51" s="49">
        <f t="shared" si="2"/>
        <v>0</v>
      </c>
      <c r="L51" s="50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9">
        <f t="shared" si="7"/>
        <v>0</v>
      </c>
    </row>
    <row r="52" spans="1:16" ht="30.6">
      <c r="A52" s="38">
        <v>37</v>
      </c>
      <c r="B52" s="39" t="s">
        <v>235</v>
      </c>
      <c r="C52" s="47" t="s">
        <v>284</v>
      </c>
      <c r="D52" s="24" t="s">
        <v>57</v>
      </c>
      <c r="E52" s="106">
        <v>70</v>
      </c>
      <c r="F52" s="67"/>
      <c r="G52" s="64"/>
      <c r="H52" s="48">
        <f t="shared" si="17"/>
        <v>0</v>
      </c>
      <c r="I52" s="64"/>
      <c r="J52" s="64">
        <f t="shared" si="18"/>
        <v>0</v>
      </c>
      <c r="K52" s="49">
        <f t="shared" si="2"/>
        <v>0</v>
      </c>
      <c r="L52" s="50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9">
        <f t="shared" si="7"/>
        <v>0</v>
      </c>
    </row>
    <row r="53" spans="1:16" ht="30.6">
      <c r="A53" s="38">
        <v>38</v>
      </c>
      <c r="B53" s="39" t="s">
        <v>235</v>
      </c>
      <c r="C53" s="47" t="s">
        <v>285</v>
      </c>
      <c r="D53" s="24" t="s">
        <v>57</v>
      </c>
      <c r="E53" s="106">
        <v>130</v>
      </c>
      <c r="F53" s="67"/>
      <c r="G53" s="64"/>
      <c r="H53" s="48">
        <f t="shared" si="17"/>
        <v>0</v>
      </c>
      <c r="I53" s="64"/>
      <c r="J53" s="64">
        <f t="shared" si="18"/>
        <v>0</v>
      </c>
      <c r="K53" s="49">
        <f t="shared" si="2"/>
        <v>0</v>
      </c>
      <c r="L53" s="50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9">
        <f t="shared" si="7"/>
        <v>0</v>
      </c>
    </row>
    <row r="54" spans="1:16" ht="30.6">
      <c r="A54" s="38">
        <v>39</v>
      </c>
      <c r="B54" s="39" t="s">
        <v>235</v>
      </c>
      <c r="C54" s="47" t="s">
        <v>286</v>
      </c>
      <c r="D54" s="24" t="s">
        <v>57</v>
      </c>
      <c r="E54" s="106">
        <v>60</v>
      </c>
      <c r="F54" s="67"/>
      <c r="G54" s="64"/>
      <c r="H54" s="48">
        <f t="shared" si="17"/>
        <v>0</v>
      </c>
      <c r="I54" s="64"/>
      <c r="J54" s="64">
        <f t="shared" si="18"/>
        <v>0</v>
      </c>
      <c r="K54" s="49">
        <f t="shared" si="2"/>
        <v>0</v>
      </c>
      <c r="L54" s="50">
        <f t="shared" si="3"/>
        <v>0</v>
      </c>
      <c r="M54" s="48">
        <f t="shared" si="4"/>
        <v>0</v>
      </c>
      <c r="N54" s="48">
        <f t="shared" si="5"/>
        <v>0</v>
      </c>
      <c r="O54" s="48">
        <f t="shared" si="6"/>
        <v>0</v>
      </c>
      <c r="P54" s="49">
        <f t="shared" si="7"/>
        <v>0</v>
      </c>
    </row>
    <row r="55" spans="1:16" ht="20.399999999999999">
      <c r="A55" s="38">
        <v>40</v>
      </c>
      <c r="B55" s="39" t="s">
        <v>235</v>
      </c>
      <c r="C55" s="47" t="s">
        <v>246</v>
      </c>
      <c r="D55" s="24" t="s">
        <v>101</v>
      </c>
      <c r="E55" s="106">
        <v>1</v>
      </c>
      <c r="F55" s="67"/>
      <c r="G55" s="64"/>
      <c r="H55" s="48">
        <f t="shared" si="17"/>
        <v>0</v>
      </c>
      <c r="I55" s="64"/>
      <c r="J55" s="64">
        <f t="shared" si="18"/>
        <v>0</v>
      </c>
      <c r="K55" s="49">
        <f t="shared" si="2"/>
        <v>0</v>
      </c>
      <c r="L55" s="50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9">
        <f t="shared" si="7"/>
        <v>0</v>
      </c>
    </row>
    <row r="56" spans="1:16" ht="20.399999999999999">
      <c r="A56" s="38">
        <v>41</v>
      </c>
      <c r="B56" s="39" t="s">
        <v>235</v>
      </c>
      <c r="C56" s="47" t="s">
        <v>247</v>
      </c>
      <c r="D56" s="24" t="s">
        <v>101</v>
      </c>
      <c r="E56" s="106">
        <v>1</v>
      </c>
      <c r="F56" s="67"/>
      <c r="G56" s="64"/>
      <c r="H56" s="48">
        <f t="shared" ref="H56:H57" si="19">ROUND(G56*F56,2)</f>
        <v>0</v>
      </c>
      <c r="I56" s="64"/>
      <c r="J56" s="64">
        <f t="shared" ref="J56:J57" si="20">ROUND(H56*6%,2)</f>
        <v>0</v>
      </c>
      <c r="K56" s="49">
        <f t="shared" si="2"/>
        <v>0</v>
      </c>
      <c r="L56" s="50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9">
        <f t="shared" si="7"/>
        <v>0</v>
      </c>
    </row>
    <row r="57" spans="1:16" ht="21" thickBot="1">
      <c r="A57" s="38">
        <v>42</v>
      </c>
      <c r="B57" s="39" t="s">
        <v>235</v>
      </c>
      <c r="C57" s="47" t="s">
        <v>244</v>
      </c>
      <c r="D57" s="24" t="s">
        <v>101</v>
      </c>
      <c r="E57" s="106">
        <v>1</v>
      </c>
      <c r="F57" s="67"/>
      <c r="G57" s="64"/>
      <c r="H57" s="48">
        <f t="shared" si="19"/>
        <v>0</v>
      </c>
      <c r="I57" s="64"/>
      <c r="J57" s="64">
        <f t="shared" si="20"/>
        <v>0</v>
      </c>
      <c r="K57" s="49">
        <f t="shared" si="2"/>
        <v>0</v>
      </c>
      <c r="L57" s="50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9">
        <f t="shared" si="7"/>
        <v>0</v>
      </c>
    </row>
    <row r="58" spans="1:16" ht="10.8" thickBot="1">
      <c r="A58" s="176" t="s">
        <v>76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8"/>
      <c r="L58" s="68">
        <f>SUM(L14:L57)</f>
        <v>0</v>
      </c>
      <c r="M58" s="69">
        <f>SUM(M14:M57)</f>
        <v>0</v>
      </c>
      <c r="N58" s="69">
        <f>SUM(N14:N57)</f>
        <v>0</v>
      </c>
      <c r="O58" s="69">
        <f>SUM(O14:O57)</f>
        <v>0</v>
      </c>
      <c r="P58" s="70">
        <f>SUM(P14:P57)</f>
        <v>0</v>
      </c>
    </row>
    <row r="59" spans="1:16">
      <c r="A59" s="17"/>
      <c r="B59" s="17"/>
      <c r="C59" s="17"/>
      <c r="D59" s="17"/>
      <c r="E59" s="113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7"/>
      <c r="B60" s="17"/>
      <c r="C60" s="17"/>
      <c r="D60" s="17"/>
      <c r="E60" s="113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" t="s">
        <v>14</v>
      </c>
      <c r="B61" s="17"/>
      <c r="C61" s="175">
        <f>'Kops a'!C33:H33</f>
        <v>0</v>
      </c>
      <c r="D61" s="175"/>
      <c r="E61" s="175"/>
      <c r="F61" s="175"/>
      <c r="G61" s="175"/>
      <c r="H61" s="175"/>
      <c r="I61" s="17"/>
      <c r="J61" s="17"/>
      <c r="K61" s="17"/>
      <c r="L61" s="17"/>
      <c r="M61" s="17"/>
      <c r="N61" s="17"/>
      <c r="O61" s="17"/>
      <c r="P61" s="17"/>
    </row>
    <row r="62" spans="1:16">
      <c r="A62" s="17"/>
      <c r="B62" s="17"/>
      <c r="C62" s="125" t="s">
        <v>15</v>
      </c>
      <c r="D62" s="125"/>
      <c r="E62" s="125"/>
      <c r="F62" s="125"/>
      <c r="G62" s="125"/>
      <c r="H62" s="125"/>
      <c r="I62" s="17"/>
      <c r="J62" s="17"/>
      <c r="K62" s="17"/>
      <c r="L62" s="17"/>
      <c r="M62" s="17"/>
      <c r="N62" s="17"/>
      <c r="O62" s="17"/>
      <c r="P62" s="17"/>
    </row>
    <row r="63" spans="1:16">
      <c r="A63" s="17"/>
      <c r="B63" s="17"/>
      <c r="C63" s="17"/>
      <c r="D63" s="17"/>
      <c r="E63" s="113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>
      <c r="A64" s="87" t="str">
        <f>'Kops a'!A36</f>
        <v>Tāme sastādīta</v>
      </c>
      <c r="B64" s="88"/>
      <c r="C64" s="88"/>
      <c r="D64" s="88"/>
      <c r="E64" s="113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17"/>
      <c r="B65" s="17"/>
      <c r="C65" s="17"/>
      <c r="D65" s="17"/>
      <c r="E65" s="11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" t="s">
        <v>37</v>
      </c>
      <c r="B66" s="17"/>
      <c r="C66" s="175">
        <f>'Kops a'!C38:H38</f>
        <v>0</v>
      </c>
      <c r="D66" s="175"/>
      <c r="E66" s="175"/>
      <c r="F66" s="175"/>
      <c r="G66" s="175"/>
      <c r="H66" s="175"/>
      <c r="I66" s="17"/>
      <c r="J66" s="17"/>
      <c r="K66" s="17"/>
      <c r="L66" s="17"/>
      <c r="M66" s="17"/>
      <c r="N66" s="17"/>
      <c r="O66" s="17"/>
      <c r="P66" s="17"/>
    </row>
    <row r="67" spans="1:16">
      <c r="A67" s="17"/>
      <c r="B67" s="17"/>
      <c r="C67" s="125" t="s">
        <v>15</v>
      </c>
      <c r="D67" s="125"/>
      <c r="E67" s="125"/>
      <c r="F67" s="125"/>
      <c r="G67" s="125"/>
      <c r="H67" s="125"/>
      <c r="I67" s="17"/>
      <c r="J67" s="17"/>
      <c r="K67" s="17"/>
      <c r="L67" s="17"/>
      <c r="M67" s="17"/>
      <c r="N67" s="17"/>
      <c r="O67" s="17"/>
      <c r="P67" s="17"/>
    </row>
    <row r="68" spans="1:16">
      <c r="A68" s="17"/>
      <c r="B68" s="17"/>
      <c r="C68" s="17"/>
      <c r="D68" s="17"/>
      <c r="E68" s="1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>
      <c r="A69" s="87" t="s">
        <v>54</v>
      </c>
      <c r="B69" s="88"/>
      <c r="C69" s="92">
        <f>'Kops a'!C41</f>
        <v>0</v>
      </c>
      <c r="D69" s="51"/>
      <c r="E69" s="1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17"/>
      <c r="B70" s="17"/>
      <c r="C70" s="17"/>
      <c r="D70" s="17"/>
      <c r="E70" s="113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7:H67"/>
    <mergeCell ref="C4:I4"/>
    <mergeCell ref="F12:K12"/>
    <mergeCell ref="J9:M9"/>
    <mergeCell ref="D8:L8"/>
    <mergeCell ref="A58:K58"/>
    <mergeCell ref="C61:H61"/>
    <mergeCell ref="C62:H62"/>
    <mergeCell ref="C66:H66"/>
  </mergeCells>
  <conditionalFormatting sqref="N9:O9">
    <cfRule type="cellIs" dxfId="58" priority="41" operator="equal">
      <formula>0</formula>
    </cfRule>
  </conditionalFormatting>
  <conditionalFormatting sqref="C2:I2">
    <cfRule type="cellIs" dxfId="57" priority="38" operator="equal">
      <formula>0</formula>
    </cfRule>
  </conditionalFormatting>
  <conditionalFormatting sqref="O10">
    <cfRule type="cellIs" dxfId="56" priority="37" operator="equal">
      <formula>"20__. gada __. _________"</formula>
    </cfRule>
  </conditionalFormatting>
  <conditionalFormatting sqref="A58:K58">
    <cfRule type="containsText" dxfId="55" priority="36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H14 K14:P14 L15:P58">
    <cfRule type="cellIs" dxfId="54" priority="31" operator="equal">
      <formula>0</formula>
    </cfRule>
  </conditionalFormatting>
  <conditionalFormatting sqref="C4:I4">
    <cfRule type="cellIs" dxfId="53" priority="30" operator="equal">
      <formula>0</formula>
    </cfRule>
  </conditionalFormatting>
  <conditionalFormatting sqref="D5:L8">
    <cfRule type="cellIs" dxfId="52" priority="26" operator="equal">
      <formula>0</formula>
    </cfRule>
  </conditionalFormatting>
  <conditionalFormatting sqref="F14:G14">
    <cfRule type="cellIs" dxfId="51" priority="25" operator="equal">
      <formula>0</formula>
    </cfRule>
  </conditionalFormatting>
  <conditionalFormatting sqref="I14:J14">
    <cfRule type="cellIs" dxfId="50" priority="23" operator="equal">
      <formula>0</formula>
    </cfRule>
  </conditionalFormatting>
  <conditionalFormatting sqref="P10">
    <cfRule type="cellIs" dxfId="49" priority="22" operator="equal">
      <formula>"20__. gada __. _________"</formula>
    </cfRule>
  </conditionalFormatting>
  <conditionalFormatting sqref="C66:H66">
    <cfRule type="cellIs" dxfId="48" priority="19" operator="equal">
      <formula>0</formula>
    </cfRule>
  </conditionalFormatting>
  <conditionalFormatting sqref="C61:H61">
    <cfRule type="cellIs" dxfId="47" priority="18" operator="equal">
      <formula>0</formula>
    </cfRule>
  </conditionalFormatting>
  <conditionalFormatting sqref="C66:H66 C69 C61:H61">
    <cfRule type="cellIs" dxfId="46" priority="17" operator="equal">
      <formula>0</formula>
    </cfRule>
  </conditionalFormatting>
  <conditionalFormatting sqref="D1">
    <cfRule type="cellIs" dxfId="45" priority="16" operator="equal">
      <formula>0</formula>
    </cfRule>
  </conditionalFormatting>
  <conditionalFormatting sqref="D14:E57 A14:B57">
    <cfRule type="cellIs" dxfId="44" priority="15" operator="equal">
      <formula>0</formula>
    </cfRule>
  </conditionalFormatting>
  <conditionalFormatting sqref="C14:C57">
    <cfRule type="cellIs" dxfId="43" priority="14" operator="equal">
      <formula>0</formula>
    </cfRule>
  </conditionalFormatting>
  <conditionalFormatting sqref="F15:G57 I15:J57">
    <cfRule type="cellIs" dxfId="42" priority="3" operator="equal">
      <formula>0</formula>
    </cfRule>
  </conditionalFormatting>
  <conditionalFormatting sqref="H15:H57 K15:K57">
    <cfRule type="cellIs" dxfId="41" priority="2" operator="equal">
      <formula>0</formula>
    </cfRule>
  </conditionalFormatting>
  <conditionalFormatting sqref="A9">
    <cfRule type="containsText" dxfId="4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EE428164-089A-404E-98DC-227888EB2467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20" operator="containsText" id="{879A8C95-2477-46CB-81ED-05AD5C15D29F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R71"/>
  <sheetViews>
    <sheetView zoomScale="110" zoomScaleNormal="110" workbookViewId="0">
      <selection activeCell="C70" sqref="C70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3.44140625" style="1" customWidth="1"/>
    <col min="4" max="4" width="4.44140625" style="1" customWidth="1"/>
    <col min="5" max="5" width="5.77734375" style="114" customWidth="1"/>
    <col min="6" max="6" width="4.33203125" style="1" customWidth="1"/>
    <col min="7" max="7" width="4.109375" style="1" customWidth="1"/>
    <col min="8" max="8" width="5.6640625" style="1" customWidth="1"/>
    <col min="9" max="9" width="5.33203125" style="1" customWidth="1"/>
    <col min="10" max="10" width="5" style="1" customWidth="1"/>
    <col min="11" max="11" width="5.33203125" style="1" customWidth="1"/>
    <col min="12" max="12" width="5.77734375" style="1" customWidth="1"/>
    <col min="13" max="15" width="7.6640625" style="1" customWidth="1"/>
    <col min="16" max="16" width="9" style="1" customWidth="1"/>
    <col min="17" max="16384" width="9.109375" style="1"/>
  </cols>
  <sheetData>
    <row r="1" spans="1:16">
      <c r="A1" s="23"/>
      <c r="B1" s="23"/>
      <c r="C1" s="27" t="s">
        <v>38</v>
      </c>
      <c r="D1" s="52">
        <f>'Kops a'!A23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6">
      <c r="A2" s="29"/>
      <c r="B2" s="29"/>
      <c r="C2" s="180" t="s">
        <v>339</v>
      </c>
      <c r="D2" s="180"/>
      <c r="E2" s="180"/>
      <c r="F2" s="180"/>
      <c r="G2" s="180"/>
      <c r="H2" s="180"/>
      <c r="I2" s="180"/>
      <c r="J2" s="29"/>
    </row>
    <row r="3" spans="1:16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6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6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6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6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6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6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P59</f>
        <v>0</v>
      </c>
      <c r="O9" s="192"/>
      <c r="P9" s="31"/>
    </row>
    <row r="10" spans="1:16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A65</f>
        <v>Tāme sastādīta</v>
      </c>
    </row>
    <row r="11" spans="1:16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6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>
      <c r="A14" s="38"/>
      <c r="B14" s="39"/>
      <c r="C14" s="94" t="s">
        <v>248</v>
      </c>
      <c r="D14" s="24"/>
      <c r="E14" s="112"/>
      <c r="F14" s="67"/>
      <c r="G14" s="64"/>
      <c r="H14" s="48">
        <f>ROUND(F14*G14,2)</f>
        <v>0</v>
      </c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>
      <c r="A15" s="38">
        <v>1</v>
      </c>
      <c r="B15" s="39" t="s">
        <v>249</v>
      </c>
      <c r="C15" s="47" t="s">
        <v>250</v>
      </c>
      <c r="D15" s="24" t="s">
        <v>57</v>
      </c>
      <c r="E15" s="106">
        <v>80</v>
      </c>
      <c r="F15" s="67"/>
      <c r="G15" s="64"/>
      <c r="H15" s="48">
        <f t="shared" ref="H15:H58" si="0">ROUND(G15*F15,2)</f>
        <v>0</v>
      </c>
      <c r="I15" s="64"/>
      <c r="J15" s="64">
        <f t="shared" ref="J15:J34" si="1">ROUND(H15*6%,2)</f>
        <v>0</v>
      </c>
      <c r="K15" s="49">
        <f t="shared" ref="K15:K58" si="2">SUM(H15:J15)</f>
        <v>0</v>
      </c>
      <c r="L15" s="50">
        <f t="shared" ref="L15:L58" si="3">ROUND(E15*F15,2)</f>
        <v>0</v>
      </c>
      <c r="M15" s="48">
        <f t="shared" ref="M15:M58" si="4">ROUND(H15*E15,2)</f>
        <v>0</v>
      </c>
      <c r="N15" s="48">
        <f t="shared" ref="N15:N58" si="5">ROUND(I15*E15,2)</f>
        <v>0</v>
      </c>
      <c r="O15" s="48">
        <f t="shared" ref="O15:O58" si="6">ROUND(J15*E15,2)</f>
        <v>0</v>
      </c>
      <c r="P15" s="49">
        <f t="shared" ref="P15:P58" si="7">SUM(M15:O15)</f>
        <v>0</v>
      </c>
    </row>
    <row r="16" spans="1:16" ht="20.399999999999999">
      <c r="A16" s="38">
        <v>2</v>
      </c>
      <c r="B16" s="39" t="s">
        <v>249</v>
      </c>
      <c r="C16" s="47" t="s">
        <v>270</v>
      </c>
      <c r="D16" s="24" t="s">
        <v>57</v>
      </c>
      <c r="E16" s="106">
        <v>35</v>
      </c>
      <c r="F16" s="67"/>
      <c r="G16" s="64"/>
      <c r="H16" s="48">
        <f t="shared" si="0"/>
        <v>0</v>
      </c>
      <c r="I16" s="64"/>
      <c r="J16" s="64">
        <f t="shared" si="1"/>
        <v>0</v>
      </c>
      <c r="K16" s="49">
        <f t="shared" si="2"/>
        <v>0</v>
      </c>
      <c r="L16" s="50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9">
        <f t="shared" si="7"/>
        <v>0</v>
      </c>
    </row>
    <row r="17" spans="1:16" ht="30.6">
      <c r="A17" s="38">
        <v>3</v>
      </c>
      <c r="B17" s="39" t="s">
        <v>249</v>
      </c>
      <c r="C17" s="47" t="s">
        <v>251</v>
      </c>
      <c r="D17" s="24" t="s">
        <v>57</v>
      </c>
      <c r="E17" s="109">
        <v>45</v>
      </c>
      <c r="F17" s="67"/>
      <c r="G17" s="64"/>
      <c r="H17" s="48">
        <f t="shared" si="0"/>
        <v>0</v>
      </c>
      <c r="I17" s="64"/>
      <c r="J17" s="64">
        <f t="shared" si="1"/>
        <v>0</v>
      </c>
      <c r="K17" s="49">
        <f t="shared" si="2"/>
        <v>0</v>
      </c>
      <c r="L17" s="50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9">
        <f t="shared" si="7"/>
        <v>0</v>
      </c>
    </row>
    <row r="18" spans="1:16" ht="20.399999999999999">
      <c r="A18" s="38">
        <v>4</v>
      </c>
      <c r="B18" s="39" t="s">
        <v>249</v>
      </c>
      <c r="C18" s="47" t="s">
        <v>252</v>
      </c>
      <c r="D18" s="24" t="s">
        <v>253</v>
      </c>
      <c r="E18" s="106">
        <v>1</v>
      </c>
      <c r="F18" s="67"/>
      <c r="G18" s="64"/>
      <c r="H18" s="48">
        <f t="shared" si="0"/>
        <v>0</v>
      </c>
      <c r="I18" s="64"/>
      <c r="J18" s="64">
        <f t="shared" si="1"/>
        <v>0</v>
      </c>
      <c r="K18" s="49">
        <f t="shared" si="2"/>
        <v>0</v>
      </c>
      <c r="L18" s="50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9">
        <f t="shared" si="7"/>
        <v>0</v>
      </c>
    </row>
    <row r="19" spans="1:16" ht="20.399999999999999">
      <c r="A19" s="38">
        <v>5</v>
      </c>
      <c r="B19" s="39" t="s">
        <v>249</v>
      </c>
      <c r="C19" s="47" t="s">
        <v>254</v>
      </c>
      <c r="D19" s="24" t="s">
        <v>57</v>
      </c>
      <c r="E19" s="106">
        <v>180</v>
      </c>
      <c r="F19" s="67"/>
      <c r="G19" s="64"/>
      <c r="H19" s="48">
        <f t="shared" si="0"/>
        <v>0</v>
      </c>
      <c r="I19" s="64"/>
      <c r="J19" s="64">
        <f t="shared" si="1"/>
        <v>0</v>
      </c>
      <c r="K19" s="49">
        <f t="shared" si="2"/>
        <v>0</v>
      </c>
      <c r="L19" s="50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9">
        <f t="shared" si="7"/>
        <v>0</v>
      </c>
    </row>
    <row r="20" spans="1:16" ht="20.399999999999999">
      <c r="A20" s="38">
        <v>6</v>
      </c>
      <c r="B20" s="39" t="s">
        <v>249</v>
      </c>
      <c r="C20" s="47" t="s">
        <v>255</v>
      </c>
      <c r="D20" s="24" t="s">
        <v>57</v>
      </c>
      <c r="E20" s="106">
        <v>270</v>
      </c>
      <c r="F20" s="67"/>
      <c r="G20" s="64"/>
      <c r="H20" s="48">
        <f t="shared" si="0"/>
        <v>0</v>
      </c>
      <c r="I20" s="64"/>
      <c r="J20" s="64">
        <f t="shared" si="1"/>
        <v>0</v>
      </c>
      <c r="K20" s="49">
        <f t="shared" si="2"/>
        <v>0</v>
      </c>
      <c r="L20" s="50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9">
        <f t="shared" si="7"/>
        <v>0</v>
      </c>
    </row>
    <row r="21" spans="1:16" ht="20.399999999999999">
      <c r="A21" s="38">
        <v>7</v>
      </c>
      <c r="B21" s="39" t="s">
        <v>249</v>
      </c>
      <c r="C21" s="47" t="s">
        <v>256</v>
      </c>
      <c r="D21" s="24" t="s">
        <v>57</v>
      </c>
      <c r="E21" s="106">
        <v>180</v>
      </c>
      <c r="F21" s="67"/>
      <c r="G21" s="64"/>
      <c r="H21" s="48">
        <f t="shared" si="0"/>
        <v>0</v>
      </c>
      <c r="I21" s="64"/>
      <c r="J21" s="64">
        <f t="shared" si="1"/>
        <v>0</v>
      </c>
      <c r="K21" s="49">
        <f t="shared" si="2"/>
        <v>0</v>
      </c>
      <c r="L21" s="50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9">
        <f t="shared" si="7"/>
        <v>0</v>
      </c>
    </row>
    <row r="22" spans="1:16" ht="20.399999999999999">
      <c r="A22" s="38">
        <v>8</v>
      </c>
      <c r="B22" s="39" t="s">
        <v>249</v>
      </c>
      <c r="C22" s="47" t="s">
        <v>257</v>
      </c>
      <c r="D22" s="24" t="s">
        <v>57</v>
      </c>
      <c r="E22" s="106">
        <v>350</v>
      </c>
      <c r="F22" s="67"/>
      <c r="G22" s="64"/>
      <c r="H22" s="48">
        <f t="shared" si="0"/>
        <v>0</v>
      </c>
      <c r="I22" s="64"/>
      <c r="J22" s="64">
        <f t="shared" si="1"/>
        <v>0</v>
      </c>
      <c r="K22" s="49">
        <f t="shared" si="2"/>
        <v>0</v>
      </c>
      <c r="L22" s="50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9">
        <f t="shared" si="7"/>
        <v>0</v>
      </c>
    </row>
    <row r="23" spans="1:16" ht="20.399999999999999">
      <c r="A23" s="38">
        <v>9</v>
      </c>
      <c r="B23" s="39" t="s">
        <v>249</v>
      </c>
      <c r="C23" s="47" t="s">
        <v>258</v>
      </c>
      <c r="D23" s="24" t="s">
        <v>57</v>
      </c>
      <c r="E23" s="106">
        <v>45</v>
      </c>
      <c r="F23" s="67"/>
      <c r="G23" s="64"/>
      <c r="H23" s="48">
        <f t="shared" si="0"/>
        <v>0</v>
      </c>
      <c r="I23" s="64"/>
      <c r="J23" s="64">
        <f t="shared" si="1"/>
        <v>0</v>
      </c>
      <c r="K23" s="49">
        <f t="shared" si="2"/>
        <v>0</v>
      </c>
      <c r="L23" s="50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9">
        <f t="shared" si="7"/>
        <v>0</v>
      </c>
    </row>
    <row r="24" spans="1:16" ht="20.399999999999999">
      <c r="A24" s="38">
        <v>10</v>
      </c>
      <c r="B24" s="39" t="s">
        <v>249</v>
      </c>
      <c r="C24" s="47" t="s">
        <v>259</v>
      </c>
      <c r="D24" s="24" t="s">
        <v>57</v>
      </c>
      <c r="E24" s="106">
        <v>35</v>
      </c>
      <c r="F24" s="67"/>
      <c r="G24" s="64"/>
      <c r="H24" s="48">
        <f t="shared" si="0"/>
        <v>0</v>
      </c>
      <c r="I24" s="64"/>
      <c r="J24" s="64">
        <f t="shared" si="1"/>
        <v>0</v>
      </c>
      <c r="K24" s="49">
        <f t="shared" si="2"/>
        <v>0</v>
      </c>
      <c r="L24" s="50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9">
        <f t="shared" si="7"/>
        <v>0</v>
      </c>
    </row>
    <row r="25" spans="1:16" ht="20.399999999999999">
      <c r="A25" s="38">
        <v>11</v>
      </c>
      <c r="B25" s="39" t="s">
        <v>249</v>
      </c>
      <c r="C25" s="47" t="s">
        <v>356</v>
      </c>
      <c r="D25" s="24" t="s">
        <v>71</v>
      </c>
      <c r="E25" s="106">
        <v>108</v>
      </c>
      <c r="F25" s="67"/>
      <c r="G25" s="64"/>
      <c r="H25" s="48">
        <f t="shared" si="0"/>
        <v>0</v>
      </c>
      <c r="I25" s="64"/>
      <c r="J25" s="64">
        <f t="shared" si="1"/>
        <v>0</v>
      </c>
      <c r="K25" s="49">
        <f t="shared" si="2"/>
        <v>0</v>
      </c>
      <c r="L25" s="50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9">
        <f t="shared" si="7"/>
        <v>0</v>
      </c>
    </row>
    <row r="26" spans="1:16" ht="20.399999999999999">
      <c r="A26" s="38">
        <v>12</v>
      </c>
      <c r="B26" s="39" t="s">
        <v>249</v>
      </c>
      <c r="C26" s="47" t="s">
        <v>357</v>
      </c>
      <c r="D26" s="24" t="s">
        <v>71</v>
      </c>
      <c r="E26" s="106">
        <v>27</v>
      </c>
      <c r="F26" s="67"/>
      <c r="G26" s="64"/>
      <c r="H26" s="48">
        <f t="shared" si="0"/>
        <v>0</v>
      </c>
      <c r="I26" s="64"/>
      <c r="J26" s="64">
        <f t="shared" si="1"/>
        <v>0</v>
      </c>
      <c r="K26" s="49">
        <f t="shared" si="2"/>
        <v>0</v>
      </c>
      <c r="L26" s="50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9">
        <f t="shared" si="7"/>
        <v>0</v>
      </c>
    </row>
    <row r="27" spans="1:16" ht="20.399999999999999">
      <c r="A27" s="38">
        <v>13</v>
      </c>
      <c r="B27" s="39" t="s">
        <v>249</v>
      </c>
      <c r="C27" s="47" t="s">
        <v>358</v>
      </c>
      <c r="D27" s="24" t="s">
        <v>71</v>
      </c>
      <c r="E27" s="106">
        <v>1</v>
      </c>
      <c r="F27" s="67"/>
      <c r="G27" s="64"/>
      <c r="H27" s="48">
        <f t="shared" si="0"/>
        <v>0</v>
      </c>
      <c r="I27" s="64"/>
      <c r="J27" s="64">
        <f t="shared" si="1"/>
        <v>0</v>
      </c>
      <c r="K27" s="49">
        <f t="shared" si="2"/>
        <v>0</v>
      </c>
      <c r="L27" s="50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9">
        <f t="shared" si="7"/>
        <v>0</v>
      </c>
    </row>
    <row r="28" spans="1:16" ht="20.399999999999999">
      <c r="A28" s="38">
        <v>14</v>
      </c>
      <c r="B28" s="39" t="s">
        <v>260</v>
      </c>
      <c r="C28" s="47" t="s">
        <v>359</v>
      </c>
      <c r="D28" s="24" t="s">
        <v>71</v>
      </c>
      <c r="E28" s="106">
        <v>3</v>
      </c>
      <c r="F28" s="67"/>
      <c r="G28" s="64"/>
      <c r="H28" s="48">
        <f t="shared" si="0"/>
        <v>0</v>
      </c>
      <c r="I28" s="64"/>
      <c r="J28" s="64">
        <f t="shared" si="1"/>
        <v>0</v>
      </c>
      <c r="K28" s="49">
        <f t="shared" si="2"/>
        <v>0</v>
      </c>
      <c r="L28" s="50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9">
        <f t="shared" si="7"/>
        <v>0</v>
      </c>
    </row>
    <row r="29" spans="1:16" ht="20.399999999999999">
      <c r="A29" s="38">
        <v>15</v>
      </c>
      <c r="B29" s="39" t="s">
        <v>249</v>
      </c>
      <c r="C29" s="47" t="s">
        <v>261</v>
      </c>
      <c r="D29" s="24" t="s">
        <v>253</v>
      </c>
      <c r="E29" s="106">
        <v>90</v>
      </c>
      <c r="F29" s="67"/>
      <c r="G29" s="64"/>
      <c r="H29" s="48">
        <f t="shared" si="0"/>
        <v>0</v>
      </c>
      <c r="I29" s="64"/>
      <c r="J29" s="64">
        <f t="shared" si="1"/>
        <v>0</v>
      </c>
      <c r="K29" s="49">
        <f t="shared" si="2"/>
        <v>0</v>
      </c>
      <c r="L29" s="50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9">
        <f t="shared" si="7"/>
        <v>0</v>
      </c>
    </row>
    <row r="30" spans="1:16" ht="20.399999999999999">
      <c r="A30" s="38">
        <v>16</v>
      </c>
      <c r="B30" s="39" t="s">
        <v>249</v>
      </c>
      <c r="C30" s="47" t="s">
        <v>262</v>
      </c>
      <c r="D30" s="24" t="s">
        <v>253</v>
      </c>
      <c r="E30" s="106">
        <v>1</v>
      </c>
      <c r="F30" s="67"/>
      <c r="G30" s="64"/>
      <c r="H30" s="48">
        <f t="shared" si="0"/>
        <v>0</v>
      </c>
      <c r="I30" s="64"/>
      <c r="J30" s="64">
        <f t="shared" si="1"/>
        <v>0</v>
      </c>
      <c r="K30" s="49">
        <f t="shared" si="2"/>
        <v>0</v>
      </c>
      <c r="L30" s="50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9">
        <f t="shared" si="7"/>
        <v>0</v>
      </c>
    </row>
    <row r="31" spans="1:16" ht="20.399999999999999">
      <c r="A31" s="38">
        <v>17</v>
      </c>
      <c r="B31" s="39" t="s">
        <v>249</v>
      </c>
      <c r="C31" s="47" t="s">
        <v>263</v>
      </c>
      <c r="D31" s="24" t="s">
        <v>81</v>
      </c>
      <c r="E31" s="106">
        <v>1</v>
      </c>
      <c r="F31" s="67"/>
      <c r="G31" s="64"/>
      <c r="H31" s="48">
        <f t="shared" si="0"/>
        <v>0</v>
      </c>
      <c r="I31" s="64"/>
      <c r="J31" s="64">
        <f t="shared" si="1"/>
        <v>0</v>
      </c>
      <c r="K31" s="49">
        <f t="shared" si="2"/>
        <v>0</v>
      </c>
      <c r="L31" s="50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9">
        <f t="shared" si="7"/>
        <v>0</v>
      </c>
    </row>
    <row r="32" spans="1:16" ht="20.399999999999999">
      <c r="A32" s="38">
        <v>18</v>
      </c>
      <c r="B32" s="39" t="s">
        <v>249</v>
      </c>
      <c r="C32" s="47" t="s">
        <v>264</v>
      </c>
      <c r="D32" s="24" t="s">
        <v>265</v>
      </c>
      <c r="E32" s="106">
        <v>90</v>
      </c>
      <c r="F32" s="67"/>
      <c r="G32" s="64"/>
      <c r="H32" s="48">
        <f t="shared" si="0"/>
        <v>0</v>
      </c>
      <c r="I32" s="64"/>
      <c r="J32" s="64">
        <f t="shared" si="1"/>
        <v>0</v>
      </c>
      <c r="K32" s="49">
        <f t="shared" si="2"/>
        <v>0</v>
      </c>
      <c r="L32" s="50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9">
        <f t="shared" si="7"/>
        <v>0</v>
      </c>
    </row>
    <row r="33" spans="1:18" ht="20.399999999999999">
      <c r="A33" s="38">
        <v>19</v>
      </c>
      <c r="B33" s="39" t="s">
        <v>249</v>
      </c>
      <c r="C33" s="47" t="s">
        <v>266</v>
      </c>
      <c r="D33" s="24" t="s">
        <v>101</v>
      </c>
      <c r="E33" s="106">
        <v>1</v>
      </c>
      <c r="F33" s="67"/>
      <c r="G33" s="64"/>
      <c r="H33" s="48">
        <f t="shared" si="0"/>
        <v>0</v>
      </c>
      <c r="I33" s="64"/>
      <c r="J33" s="64">
        <f t="shared" si="1"/>
        <v>0</v>
      </c>
      <c r="K33" s="49">
        <f t="shared" si="2"/>
        <v>0</v>
      </c>
      <c r="L33" s="50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9">
        <f t="shared" si="7"/>
        <v>0</v>
      </c>
    </row>
    <row r="34" spans="1:18" ht="20.399999999999999">
      <c r="A34" s="38">
        <v>20</v>
      </c>
      <c r="B34" s="39" t="s">
        <v>249</v>
      </c>
      <c r="C34" s="47" t="s">
        <v>267</v>
      </c>
      <c r="D34" s="24" t="s">
        <v>57</v>
      </c>
      <c r="E34" s="106">
        <v>610</v>
      </c>
      <c r="F34" s="67"/>
      <c r="G34" s="64"/>
      <c r="H34" s="48">
        <f t="shared" si="0"/>
        <v>0</v>
      </c>
      <c r="I34" s="64"/>
      <c r="J34" s="64">
        <f t="shared" si="1"/>
        <v>0</v>
      </c>
      <c r="K34" s="49">
        <f t="shared" si="2"/>
        <v>0</v>
      </c>
      <c r="L34" s="50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9">
        <f t="shared" si="7"/>
        <v>0</v>
      </c>
    </row>
    <row r="35" spans="1:18">
      <c r="A35" s="38"/>
      <c r="B35" s="39"/>
      <c r="C35" s="94" t="s">
        <v>268</v>
      </c>
      <c r="D35" s="24"/>
      <c r="E35" s="106"/>
      <c r="F35" s="67"/>
      <c r="G35" s="64"/>
      <c r="H35" s="48">
        <f t="shared" si="0"/>
        <v>0</v>
      </c>
      <c r="I35" s="64"/>
      <c r="J35" s="64"/>
      <c r="K35" s="49">
        <f t="shared" si="2"/>
        <v>0</v>
      </c>
      <c r="L35" s="50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9">
        <f t="shared" si="7"/>
        <v>0</v>
      </c>
    </row>
    <row r="36" spans="1:18" ht="20.399999999999999">
      <c r="A36" s="38">
        <v>1</v>
      </c>
      <c r="B36" s="39" t="s">
        <v>260</v>
      </c>
      <c r="C36" s="123" t="s">
        <v>355</v>
      </c>
      <c r="D36" s="124" t="s">
        <v>57</v>
      </c>
      <c r="E36" s="109">
        <v>67</v>
      </c>
      <c r="F36" s="67"/>
      <c r="G36" s="64"/>
      <c r="H36" s="48">
        <f t="shared" si="0"/>
        <v>0</v>
      </c>
      <c r="I36" s="64"/>
      <c r="J36" s="64">
        <f t="shared" ref="J36:J46" si="8">ROUND(H36*6%,2)</f>
        <v>0</v>
      </c>
      <c r="K36" s="49">
        <f t="shared" si="2"/>
        <v>0</v>
      </c>
      <c r="L36" s="50">
        <f t="shared" ref="L36" si="9">ROUND(E36*F36,2)</f>
        <v>0</v>
      </c>
      <c r="M36" s="48">
        <f t="shared" ref="M36" si="10">ROUND(H36*E36,2)</f>
        <v>0</v>
      </c>
      <c r="N36" s="48">
        <f t="shared" ref="N36" si="11">ROUND(I36*E36,2)</f>
        <v>0</v>
      </c>
      <c r="O36" s="48">
        <f t="shared" ref="O36" si="12">ROUND(J36*E36,2)</f>
        <v>0</v>
      </c>
      <c r="P36" s="49">
        <f t="shared" ref="P36" si="13">SUM(M36:O36)</f>
        <v>0</v>
      </c>
      <c r="R36" s="108"/>
    </row>
    <row r="37" spans="1:18" ht="20.399999999999999">
      <c r="A37" s="38">
        <v>2</v>
      </c>
      <c r="B37" s="39" t="s">
        <v>260</v>
      </c>
      <c r="C37" s="47" t="s">
        <v>269</v>
      </c>
      <c r="D37" s="24" t="s">
        <v>57</v>
      </c>
      <c r="E37" s="106">
        <v>170</v>
      </c>
      <c r="F37" s="67"/>
      <c r="G37" s="64"/>
      <c r="H37" s="48">
        <f t="shared" si="0"/>
        <v>0</v>
      </c>
      <c r="I37" s="64"/>
      <c r="J37" s="64">
        <f t="shared" si="8"/>
        <v>0</v>
      </c>
      <c r="K37" s="49">
        <f t="shared" ref="K37:K38" si="14">H37+I37+J37</f>
        <v>0</v>
      </c>
      <c r="L37" s="50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9">
        <f t="shared" si="7"/>
        <v>0</v>
      </c>
    </row>
    <row r="38" spans="1:18" ht="20.399999999999999">
      <c r="A38" s="38">
        <v>3</v>
      </c>
      <c r="B38" s="39" t="s">
        <v>249</v>
      </c>
      <c r="C38" s="47" t="s">
        <v>270</v>
      </c>
      <c r="D38" s="24" t="s">
        <v>57</v>
      </c>
      <c r="E38" s="106">
        <v>35</v>
      </c>
      <c r="F38" s="67"/>
      <c r="G38" s="64"/>
      <c r="H38" s="48">
        <f t="shared" si="0"/>
        <v>0</v>
      </c>
      <c r="I38" s="64"/>
      <c r="J38" s="64">
        <f t="shared" si="8"/>
        <v>0</v>
      </c>
      <c r="K38" s="49">
        <f t="shared" si="14"/>
        <v>0</v>
      </c>
      <c r="L38" s="50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9">
        <f t="shared" si="7"/>
        <v>0</v>
      </c>
    </row>
    <row r="39" spans="1:18" ht="20.399999999999999">
      <c r="A39" s="38">
        <v>4</v>
      </c>
      <c r="B39" s="39" t="s">
        <v>249</v>
      </c>
      <c r="C39" s="47" t="s">
        <v>271</v>
      </c>
      <c r="D39" s="24" t="s">
        <v>57</v>
      </c>
      <c r="E39" s="106">
        <v>45</v>
      </c>
      <c r="F39" s="67"/>
      <c r="G39" s="64"/>
      <c r="H39" s="48">
        <f t="shared" si="0"/>
        <v>0</v>
      </c>
      <c r="I39" s="64"/>
      <c r="J39" s="64">
        <f t="shared" si="8"/>
        <v>0</v>
      </c>
      <c r="K39" s="49">
        <f t="shared" si="2"/>
        <v>0</v>
      </c>
      <c r="L39" s="50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9">
        <f t="shared" si="7"/>
        <v>0</v>
      </c>
    </row>
    <row r="40" spans="1:18" ht="20.399999999999999">
      <c r="A40" s="38">
        <v>5</v>
      </c>
      <c r="B40" s="39" t="s">
        <v>249</v>
      </c>
      <c r="C40" s="47" t="s">
        <v>252</v>
      </c>
      <c r="D40" s="24" t="s">
        <v>253</v>
      </c>
      <c r="E40" s="106">
        <v>1</v>
      </c>
      <c r="F40" s="67"/>
      <c r="G40" s="64"/>
      <c r="H40" s="48">
        <f t="shared" si="0"/>
        <v>0</v>
      </c>
      <c r="I40" s="64"/>
      <c r="J40" s="64">
        <f t="shared" si="8"/>
        <v>0</v>
      </c>
      <c r="K40" s="49">
        <f t="shared" si="2"/>
        <v>0</v>
      </c>
      <c r="L40" s="50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9">
        <f t="shared" si="7"/>
        <v>0</v>
      </c>
    </row>
    <row r="41" spans="1:18" ht="20.399999999999999">
      <c r="A41" s="38">
        <v>6</v>
      </c>
      <c r="B41" s="39" t="s">
        <v>249</v>
      </c>
      <c r="C41" s="47" t="s">
        <v>254</v>
      </c>
      <c r="D41" s="24" t="s">
        <v>57</v>
      </c>
      <c r="E41" s="106">
        <v>157</v>
      </c>
      <c r="F41" s="67"/>
      <c r="G41" s="64"/>
      <c r="H41" s="48">
        <f t="shared" ref="H41" si="15">ROUND(G41*F41,2)</f>
        <v>0</v>
      </c>
      <c r="I41" s="64"/>
      <c r="J41" s="64">
        <f t="shared" si="8"/>
        <v>0</v>
      </c>
      <c r="K41" s="49">
        <f t="shared" si="2"/>
        <v>0</v>
      </c>
      <c r="L41" s="50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9">
        <f t="shared" si="7"/>
        <v>0</v>
      </c>
    </row>
    <row r="42" spans="1:18" ht="20.399999999999999">
      <c r="A42" s="38">
        <v>7</v>
      </c>
      <c r="B42" s="39" t="s">
        <v>249</v>
      </c>
      <c r="C42" s="47" t="s">
        <v>272</v>
      </c>
      <c r="D42" s="24" t="s">
        <v>57</v>
      </c>
      <c r="E42" s="106">
        <v>90</v>
      </c>
      <c r="F42" s="67"/>
      <c r="G42" s="64"/>
      <c r="H42" s="48">
        <f t="shared" si="0"/>
        <v>0</v>
      </c>
      <c r="I42" s="64"/>
      <c r="J42" s="64">
        <f t="shared" si="8"/>
        <v>0</v>
      </c>
      <c r="K42" s="49">
        <f t="shared" si="2"/>
        <v>0</v>
      </c>
      <c r="L42" s="50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9">
        <f t="shared" si="7"/>
        <v>0</v>
      </c>
    </row>
    <row r="43" spans="1:18" ht="20.399999999999999">
      <c r="A43" s="38">
        <v>8</v>
      </c>
      <c r="B43" s="39" t="s">
        <v>249</v>
      </c>
      <c r="C43" s="47" t="s">
        <v>255</v>
      </c>
      <c r="D43" s="24" t="s">
        <v>57</v>
      </c>
      <c r="E43" s="106">
        <v>360</v>
      </c>
      <c r="F43" s="67"/>
      <c r="G43" s="64"/>
      <c r="H43" s="48">
        <f t="shared" si="0"/>
        <v>0</v>
      </c>
      <c r="I43" s="64"/>
      <c r="J43" s="64">
        <f t="shared" si="8"/>
        <v>0</v>
      </c>
      <c r="K43" s="49">
        <f t="shared" si="2"/>
        <v>0</v>
      </c>
      <c r="L43" s="50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9">
        <f t="shared" si="7"/>
        <v>0</v>
      </c>
    </row>
    <row r="44" spans="1:18" ht="20.399999999999999">
      <c r="A44" s="38">
        <v>9</v>
      </c>
      <c r="B44" s="39" t="s">
        <v>249</v>
      </c>
      <c r="C44" s="47" t="s">
        <v>273</v>
      </c>
      <c r="D44" s="24" t="s">
        <v>57</v>
      </c>
      <c r="E44" s="106">
        <v>224</v>
      </c>
      <c r="F44" s="67"/>
      <c r="G44" s="64"/>
      <c r="H44" s="48">
        <f t="shared" si="0"/>
        <v>0</v>
      </c>
      <c r="I44" s="64"/>
      <c r="J44" s="64">
        <f t="shared" si="8"/>
        <v>0</v>
      </c>
      <c r="K44" s="49">
        <f t="shared" si="2"/>
        <v>0</v>
      </c>
      <c r="L44" s="50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9">
        <f t="shared" si="7"/>
        <v>0</v>
      </c>
    </row>
    <row r="45" spans="1:18" ht="20.399999999999999">
      <c r="A45" s="38">
        <v>10</v>
      </c>
      <c r="B45" s="39" t="s">
        <v>249</v>
      </c>
      <c r="C45" s="47" t="s">
        <v>274</v>
      </c>
      <c r="D45" s="24" t="s">
        <v>57</v>
      </c>
      <c r="E45" s="106">
        <v>90</v>
      </c>
      <c r="F45" s="67"/>
      <c r="G45" s="64"/>
      <c r="H45" s="48">
        <f t="shared" si="0"/>
        <v>0</v>
      </c>
      <c r="I45" s="64"/>
      <c r="J45" s="64">
        <f t="shared" si="8"/>
        <v>0</v>
      </c>
      <c r="K45" s="49">
        <f t="shared" si="2"/>
        <v>0</v>
      </c>
      <c r="L45" s="50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9">
        <f t="shared" si="7"/>
        <v>0</v>
      </c>
    </row>
    <row r="46" spans="1:18" ht="20.399999999999999">
      <c r="A46" s="38">
        <v>11</v>
      </c>
      <c r="B46" s="39" t="s">
        <v>249</v>
      </c>
      <c r="C46" s="47" t="s">
        <v>275</v>
      </c>
      <c r="D46" s="24" t="s">
        <v>57</v>
      </c>
      <c r="E46" s="106">
        <v>539</v>
      </c>
      <c r="F46" s="67"/>
      <c r="G46" s="64"/>
      <c r="H46" s="48">
        <f t="shared" si="0"/>
        <v>0</v>
      </c>
      <c r="I46" s="64"/>
      <c r="J46" s="64">
        <f t="shared" si="8"/>
        <v>0</v>
      </c>
      <c r="K46" s="49">
        <f t="shared" si="2"/>
        <v>0</v>
      </c>
      <c r="L46" s="50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9">
        <f t="shared" si="7"/>
        <v>0</v>
      </c>
    </row>
    <row r="47" spans="1:18" ht="20.399999999999999">
      <c r="A47" s="38">
        <v>12</v>
      </c>
      <c r="B47" s="39" t="s">
        <v>249</v>
      </c>
      <c r="C47" s="47" t="s">
        <v>259</v>
      </c>
      <c r="D47" s="24" t="s">
        <v>57</v>
      </c>
      <c r="E47" s="106">
        <v>35</v>
      </c>
      <c r="F47" s="67"/>
      <c r="G47" s="64"/>
      <c r="H47" s="48">
        <f t="shared" si="0"/>
        <v>0</v>
      </c>
      <c r="I47" s="64"/>
      <c r="J47" s="64">
        <f t="shared" ref="J47:J51" si="16">ROUND(H47*6%,2)</f>
        <v>0</v>
      </c>
      <c r="K47" s="49">
        <f t="shared" si="2"/>
        <v>0</v>
      </c>
      <c r="L47" s="50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9">
        <f t="shared" si="7"/>
        <v>0</v>
      </c>
    </row>
    <row r="48" spans="1:18" ht="20.399999999999999">
      <c r="A48" s="38">
        <v>13</v>
      </c>
      <c r="B48" s="39" t="s">
        <v>249</v>
      </c>
      <c r="C48" s="47" t="s">
        <v>258</v>
      </c>
      <c r="D48" s="24" t="s">
        <v>57</v>
      </c>
      <c r="E48" s="106">
        <v>45</v>
      </c>
      <c r="F48" s="67"/>
      <c r="G48" s="64"/>
      <c r="H48" s="48">
        <f t="shared" si="0"/>
        <v>0</v>
      </c>
      <c r="I48" s="64"/>
      <c r="J48" s="64">
        <f t="shared" si="16"/>
        <v>0</v>
      </c>
      <c r="K48" s="49">
        <f t="shared" si="2"/>
        <v>0</v>
      </c>
      <c r="L48" s="50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9">
        <f t="shared" si="7"/>
        <v>0</v>
      </c>
    </row>
    <row r="49" spans="1:16" ht="20.399999999999999">
      <c r="A49" s="38">
        <v>14</v>
      </c>
      <c r="B49" s="39" t="s">
        <v>249</v>
      </c>
      <c r="C49" s="47" t="s">
        <v>356</v>
      </c>
      <c r="D49" s="24" t="s">
        <v>71</v>
      </c>
      <c r="E49" s="106">
        <v>144</v>
      </c>
      <c r="F49" s="67"/>
      <c r="G49" s="64"/>
      <c r="H49" s="48">
        <f t="shared" si="0"/>
        <v>0</v>
      </c>
      <c r="I49" s="64"/>
      <c r="J49" s="64">
        <f t="shared" si="16"/>
        <v>0</v>
      </c>
      <c r="K49" s="49">
        <f t="shared" si="2"/>
        <v>0</v>
      </c>
      <c r="L49" s="50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9">
        <f t="shared" si="7"/>
        <v>0</v>
      </c>
    </row>
    <row r="50" spans="1:16" ht="20.399999999999999">
      <c r="A50" s="38">
        <v>15</v>
      </c>
      <c r="B50" s="39" t="s">
        <v>249</v>
      </c>
      <c r="C50" s="47" t="s">
        <v>357</v>
      </c>
      <c r="D50" s="24" t="s">
        <v>71</v>
      </c>
      <c r="E50" s="106">
        <v>22</v>
      </c>
      <c r="F50" s="67"/>
      <c r="G50" s="64"/>
      <c r="H50" s="48">
        <f t="shared" si="0"/>
        <v>0</v>
      </c>
      <c r="I50" s="64"/>
      <c r="J50" s="64">
        <f t="shared" si="16"/>
        <v>0</v>
      </c>
      <c r="K50" s="49">
        <f t="shared" si="2"/>
        <v>0</v>
      </c>
      <c r="L50" s="50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9">
        <f t="shared" si="7"/>
        <v>0</v>
      </c>
    </row>
    <row r="51" spans="1:16" ht="20.399999999999999">
      <c r="A51" s="38">
        <v>16</v>
      </c>
      <c r="B51" s="39" t="s">
        <v>249</v>
      </c>
      <c r="C51" s="47" t="s">
        <v>358</v>
      </c>
      <c r="D51" s="24" t="s">
        <v>71</v>
      </c>
      <c r="E51" s="106">
        <v>1</v>
      </c>
      <c r="F51" s="67"/>
      <c r="G51" s="64"/>
      <c r="H51" s="48">
        <f t="shared" si="0"/>
        <v>0</v>
      </c>
      <c r="I51" s="64"/>
      <c r="J51" s="64">
        <f t="shared" si="16"/>
        <v>0</v>
      </c>
      <c r="K51" s="49">
        <f t="shared" si="2"/>
        <v>0</v>
      </c>
      <c r="L51" s="50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9">
        <f t="shared" si="7"/>
        <v>0</v>
      </c>
    </row>
    <row r="52" spans="1:16" ht="20.399999999999999">
      <c r="A52" s="38">
        <v>17</v>
      </c>
      <c r="B52" s="39" t="s">
        <v>249</v>
      </c>
      <c r="C52" s="47" t="s">
        <v>359</v>
      </c>
      <c r="D52" s="24" t="s">
        <v>71</v>
      </c>
      <c r="E52" s="106">
        <v>2</v>
      </c>
      <c r="F52" s="67"/>
      <c r="G52" s="64"/>
      <c r="H52" s="48">
        <f t="shared" si="0"/>
        <v>0</v>
      </c>
      <c r="I52" s="64"/>
      <c r="J52" s="64">
        <f t="shared" ref="J52:J58" si="17">ROUND(H52*6%,2)</f>
        <v>0</v>
      </c>
      <c r="K52" s="49">
        <f t="shared" si="2"/>
        <v>0</v>
      </c>
      <c r="L52" s="50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9">
        <f t="shared" si="7"/>
        <v>0</v>
      </c>
    </row>
    <row r="53" spans="1:16" ht="20.399999999999999">
      <c r="A53" s="38">
        <v>18</v>
      </c>
      <c r="B53" s="39" t="s">
        <v>249</v>
      </c>
      <c r="C53" s="47" t="s">
        <v>360</v>
      </c>
      <c r="D53" s="24" t="s">
        <v>71</v>
      </c>
      <c r="E53" s="106">
        <v>18</v>
      </c>
      <c r="F53" s="67"/>
      <c r="G53" s="64"/>
      <c r="H53" s="48">
        <f t="shared" si="0"/>
        <v>0</v>
      </c>
      <c r="I53" s="64"/>
      <c r="J53" s="64">
        <f t="shared" si="17"/>
        <v>0</v>
      </c>
      <c r="K53" s="49">
        <f t="shared" si="2"/>
        <v>0</v>
      </c>
      <c r="L53" s="50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9">
        <f t="shared" si="7"/>
        <v>0</v>
      </c>
    </row>
    <row r="54" spans="1:16" ht="20.399999999999999">
      <c r="A54" s="38">
        <v>19</v>
      </c>
      <c r="B54" s="39" t="s">
        <v>249</v>
      </c>
      <c r="C54" s="123" t="s">
        <v>361</v>
      </c>
      <c r="D54" s="124" t="s">
        <v>253</v>
      </c>
      <c r="E54" s="109">
        <v>90</v>
      </c>
      <c r="F54" s="67"/>
      <c r="G54" s="64"/>
      <c r="H54" s="48">
        <f t="shared" si="0"/>
        <v>0</v>
      </c>
      <c r="I54" s="64"/>
      <c r="J54" s="64">
        <f t="shared" ref="J54" si="18">ROUND(H54*6%,2)</f>
        <v>0</v>
      </c>
      <c r="K54" s="49">
        <f t="shared" ref="K54" si="19">SUM(H54:J54)</f>
        <v>0</v>
      </c>
      <c r="L54" s="50">
        <f t="shared" ref="L54" si="20">ROUND(E54*F54,2)</f>
        <v>0</v>
      </c>
      <c r="M54" s="48">
        <f t="shared" ref="M54" si="21">ROUND(H54*E54,2)</f>
        <v>0</v>
      </c>
      <c r="N54" s="48">
        <f t="shared" ref="N54" si="22">ROUND(I54*E54,2)</f>
        <v>0</v>
      </c>
      <c r="O54" s="48">
        <f t="shared" ref="O54" si="23">ROUND(J54*E54,2)</f>
        <v>0</v>
      </c>
      <c r="P54" s="49">
        <f t="shared" ref="P54" si="24">SUM(M54:O54)</f>
        <v>0</v>
      </c>
    </row>
    <row r="55" spans="1:16" ht="20.399999999999999">
      <c r="A55" s="38">
        <v>20</v>
      </c>
      <c r="B55" s="39" t="s">
        <v>249</v>
      </c>
      <c r="C55" s="47" t="s">
        <v>262</v>
      </c>
      <c r="D55" s="24" t="s">
        <v>253</v>
      </c>
      <c r="E55" s="106">
        <v>1</v>
      </c>
      <c r="F55" s="67"/>
      <c r="G55" s="64"/>
      <c r="H55" s="48">
        <f t="shared" si="0"/>
        <v>0</v>
      </c>
      <c r="I55" s="64"/>
      <c r="J55" s="64">
        <f t="shared" si="17"/>
        <v>0</v>
      </c>
      <c r="K55" s="49">
        <f t="shared" si="2"/>
        <v>0</v>
      </c>
      <c r="L55" s="50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9">
        <f t="shared" si="7"/>
        <v>0</v>
      </c>
    </row>
    <row r="56" spans="1:16" ht="20.399999999999999">
      <c r="A56" s="38">
        <v>21</v>
      </c>
      <c r="B56" s="39" t="s">
        <v>249</v>
      </c>
      <c r="C56" s="47" t="s">
        <v>263</v>
      </c>
      <c r="D56" s="24" t="s">
        <v>81</v>
      </c>
      <c r="E56" s="106">
        <v>1</v>
      </c>
      <c r="F56" s="67"/>
      <c r="G56" s="64"/>
      <c r="H56" s="48">
        <f t="shared" si="0"/>
        <v>0</v>
      </c>
      <c r="I56" s="64"/>
      <c r="J56" s="64">
        <f t="shared" si="17"/>
        <v>0</v>
      </c>
      <c r="K56" s="49">
        <f t="shared" si="2"/>
        <v>0</v>
      </c>
      <c r="L56" s="50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9">
        <f t="shared" si="7"/>
        <v>0</v>
      </c>
    </row>
    <row r="57" spans="1:16" ht="20.399999999999999">
      <c r="A57" s="38">
        <v>22</v>
      </c>
      <c r="B57" s="39" t="s">
        <v>249</v>
      </c>
      <c r="C57" s="47" t="s">
        <v>266</v>
      </c>
      <c r="D57" s="24" t="s">
        <v>101</v>
      </c>
      <c r="E57" s="106">
        <v>1</v>
      </c>
      <c r="F57" s="67"/>
      <c r="G57" s="64"/>
      <c r="H57" s="48">
        <f t="shared" si="0"/>
        <v>0</v>
      </c>
      <c r="I57" s="64"/>
      <c r="J57" s="64">
        <f t="shared" si="17"/>
        <v>0</v>
      </c>
      <c r="K57" s="49">
        <f t="shared" si="2"/>
        <v>0</v>
      </c>
      <c r="L57" s="50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9">
        <f t="shared" si="7"/>
        <v>0</v>
      </c>
    </row>
    <row r="58" spans="1:16" ht="21" thickBot="1">
      <c r="A58" s="38">
        <v>23</v>
      </c>
      <c r="B58" s="39" t="s">
        <v>79</v>
      </c>
      <c r="C58" s="47" t="s">
        <v>267</v>
      </c>
      <c r="D58" s="24" t="s">
        <v>57</v>
      </c>
      <c r="E58" s="106">
        <v>933</v>
      </c>
      <c r="F58" s="67"/>
      <c r="G58" s="64"/>
      <c r="H58" s="48">
        <f t="shared" si="0"/>
        <v>0</v>
      </c>
      <c r="I58" s="64"/>
      <c r="J58" s="64">
        <f t="shared" si="17"/>
        <v>0</v>
      </c>
      <c r="K58" s="49">
        <f t="shared" si="2"/>
        <v>0</v>
      </c>
      <c r="L58" s="50">
        <f t="shared" si="3"/>
        <v>0</v>
      </c>
      <c r="M58" s="48">
        <f t="shared" si="4"/>
        <v>0</v>
      </c>
      <c r="N58" s="48">
        <f t="shared" si="5"/>
        <v>0</v>
      </c>
      <c r="O58" s="48">
        <f t="shared" si="6"/>
        <v>0</v>
      </c>
      <c r="P58" s="49">
        <f t="shared" si="7"/>
        <v>0</v>
      </c>
    </row>
    <row r="59" spans="1:16" ht="10.8" thickBot="1">
      <c r="A59" s="176" t="s">
        <v>76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8"/>
      <c r="L59" s="68">
        <f>SUM(L14:L58)</f>
        <v>0</v>
      </c>
      <c r="M59" s="69">
        <f>SUM(M14:M58)</f>
        <v>0</v>
      </c>
      <c r="N59" s="69">
        <f>SUM(N14:N58)</f>
        <v>0</v>
      </c>
      <c r="O59" s="69">
        <f>SUM(O14:O58)</f>
        <v>0</v>
      </c>
      <c r="P59" s="70">
        <f>SUM(P14:P58)</f>
        <v>0</v>
      </c>
    </row>
    <row r="60" spans="1:16">
      <c r="A60" s="17"/>
      <c r="B60" s="17"/>
      <c r="C60" s="17"/>
      <c r="D60" s="17"/>
      <c r="E60" s="113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7"/>
      <c r="B61" s="17"/>
      <c r="C61" s="17"/>
      <c r="D61" s="17"/>
      <c r="E61" s="113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1" t="s">
        <v>14</v>
      </c>
      <c r="B62" s="17"/>
      <c r="C62" s="175">
        <f>'Kops a'!C33:H33</f>
        <v>0</v>
      </c>
      <c r="D62" s="175"/>
      <c r="E62" s="175"/>
      <c r="F62" s="175"/>
      <c r="G62" s="175"/>
      <c r="H62" s="175"/>
      <c r="I62" s="17"/>
      <c r="J62" s="17"/>
      <c r="K62" s="17"/>
      <c r="L62" s="17"/>
      <c r="M62" s="17"/>
      <c r="N62" s="17"/>
      <c r="O62" s="17"/>
      <c r="P62" s="17"/>
    </row>
    <row r="63" spans="1:16">
      <c r="A63" s="17"/>
      <c r="B63" s="17"/>
      <c r="C63" s="125" t="s">
        <v>15</v>
      </c>
      <c r="D63" s="125"/>
      <c r="E63" s="125"/>
      <c r="F63" s="125"/>
      <c r="G63" s="125"/>
      <c r="H63" s="125"/>
      <c r="I63" s="17"/>
      <c r="J63" s="17"/>
      <c r="K63" s="17"/>
      <c r="L63" s="17"/>
      <c r="M63" s="17"/>
      <c r="N63" s="17"/>
      <c r="O63" s="17"/>
      <c r="P63" s="17"/>
    </row>
    <row r="64" spans="1:16">
      <c r="A64" s="17"/>
      <c r="B64" s="17"/>
      <c r="C64" s="17"/>
      <c r="D64" s="17"/>
      <c r="E64" s="113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87" t="str">
        <f>'Kops a'!A36</f>
        <v>Tāme sastādīta</v>
      </c>
      <c r="B65" s="88"/>
      <c r="C65" s="88"/>
      <c r="D65" s="88"/>
      <c r="E65" s="11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7"/>
      <c r="B66" s="17"/>
      <c r="C66" s="17"/>
      <c r="D66" s="17"/>
      <c r="E66" s="1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" t="s">
        <v>37</v>
      </c>
      <c r="B67" s="17"/>
      <c r="C67" s="175">
        <f>'Kops a'!C38:H38</f>
        <v>0</v>
      </c>
      <c r="D67" s="175"/>
      <c r="E67" s="175"/>
      <c r="F67" s="175"/>
      <c r="G67" s="175"/>
      <c r="H67" s="175"/>
      <c r="I67" s="17"/>
      <c r="J67" s="17"/>
      <c r="K67" s="17"/>
      <c r="L67" s="17"/>
      <c r="M67" s="17"/>
      <c r="N67" s="17"/>
      <c r="O67" s="17"/>
      <c r="P67" s="17"/>
    </row>
    <row r="68" spans="1:16">
      <c r="A68" s="17"/>
      <c r="B68" s="17"/>
      <c r="C68" s="125" t="s">
        <v>15</v>
      </c>
      <c r="D68" s="125"/>
      <c r="E68" s="125"/>
      <c r="F68" s="125"/>
      <c r="G68" s="125"/>
      <c r="H68" s="125"/>
      <c r="I68" s="17"/>
      <c r="J68" s="17"/>
      <c r="K68" s="17"/>
      <c r="L68" s="17"/>
      <c r="M68" s="17"/>
      <c r="N68" s="17"/>
      <c r="O68" s="17"/>
      <c r="P68" s="17"/>
    </row>
    <row r="69" spans="1:16">
      <c r="A69" s="17"/>
      <c r="B69" s="17"/>
      <c r="C69" s="17"/>
      <c r="D69" s="17"/>
      <c r="E69" s="1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87" t="s">
        <v>54</v>
      </c>
      <c r="B70" s="88"/>
      <c r="C70" s="92">
        <f>'Kops a'!C41</f>
        <v>0</v>
      </c>
      <c r="D70" s="51"/>
      <c r="E70" s="113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>
      <c r="A71" s="17"/>
      <c r="B71" s="17"/>
      <c r="C71" s="17"/>
      <c r="D71" s="17"/>
      <c r="E71" s="11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8:H68"/>
    <mergeCell ref="C4:I4"/>
    <mergeCell ref="F12:K12"/>
    <mergeCell ref="J9:M9"/>
    <mergeCell ref="D8:L8"/>
    <mergeCell ref="A59:K59"/>
    <mergeCell ref="C62:H62"/>
    <mergeCell ref="C63:H63"/>
    <mergeCell ref="C67:H67"/>
  </mergeCells>
  <conditionalFormatting sqref="N9:O9 K43:P53">
    <cfRule type="cellIs" dxfId="37" priority="79" operator="equal">
      <formula>0</formula>
    </cfRule>
  </conditionalFormatting>
  <conditionalFormatting sqref="C2:I2">
    <cfRule type="cellIs" dxfId="36" priority="76" operator="equal">
      <formula>0</formula>
    </cfRule>
  </conditionalFormatting>
  <conditionalFormatting sqref="O10">
    <cfRule type="cellIs" dxfId="35" priority="75" operator="equal">
      <formula>"20__. gada __. _________"</formula>
    </cfRule>
  </conditionalFormatting>
  <conditionalFormatting sqref="A59:K59">
    <cfRule type="containsText" dxfId="34" priority="74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L14:P36 L55:P59">
    <cfRule type="cellIs" dxfId="33" priority="69" operator="equal">
      <formula>0</formula>
    </cfRule>
  </conditionalFormatting>
  <conditionalFormatting sqref="C4:I4">
    <cfRule type="cellIs" dxfId="32" priority="68" operator="equal">
      <formula>0</formula>
    </cfRule>
  </conditionalFormatting>
  <conditionalFormatting sqref="D5:L8">
    <cfRule type="cellIs" dxfId="31" priority="64" operator="equal">
      <formula>0</formula>
    </cfRule>
  </conditionalFormatting>
  <conditionalFormatting sqref="P10">
    <cfRule type="cellIs" dxfId="30" priority="60" operator="equal">
      <formula>"20__. gada __. _________"</formula>
    </cfRule>
  </conditionalFormatting>
  <conditionalFormatting sqref="C67:H67 C37:E58 F43:G53 I47:J53 A14:B58">
    <cfRule type="cellIs" dxfId="29" priority="57" operator="equal">
      <formula>0</formula>
    </cfRule>
  </conditionalFormatting>
  <conditionalFormatting sqref="C62:H62">
    <cfRule type="cellIs" dxfId="28" priority="56" operator="equal">
      <formula>0</formula>
    </cfRule>
  </conditionalFormatting>
  <conditionalFormatting sqref="C67:H67 C70 C62:H62">
    <cfRule type="cellIs" dxfId="27" priority="55" operator="equal">
      <formula>0</formula>
    </cfRule>
  </conditionalFormatting>
  <conditionalFormatting sqref="D1">
    <cfRule type="cellIs" dxfId="26" priority="54" operator="equal">
      <formula>0</formula>
    </cfRule>
  </conditionalFormatting>
  <conditionalFormatting sqref="D14:E35">
    <cfRule type="cellIs" dxfId="25" priority="53" operator="equal">
      <formula>0</formula>
    </cfRule>
  </conditionalFormatting>
  <conditionalFormatting sqref="C14:C35">
    <cfRule type="cellIs" dxfId="24" priority="52" operator="equal">
      <formula>0</formula>
    </cfRule>
  </conditionalFormatting>
  <conditionalFormatting sqref="I15:J15 F15:G15 I43:I46 I55:J58 F55:G58 F17:G35 I35:J35 I17:I34 J16:J34">
    <cfRule type="cellIs" dxfId="23" priority="23" operator="equal">
      <formula>0</formula>
    </cfRule>
  </conditionalFormatting>
  <conditionalFormatting sqref="K15:K35 K55:K58 H15:H40 H42:H58">
    <cfRule type="cellIs" dxfId="22" priority="22" operator="equal">
      <formula>0</formula>
    </cfRule>
  </conditionalFormatting>
  <conditionalFormatting sqref="I14:J14 F14:G14">
    <cfRule type="cellIs" dxfId="21" priority="49" operator="equal">
      <formula>0</formula>
    </cfRule>
  </conditionalFormatting>
  <conditionalFormatting sqref="H14 K14">
    <cfRule type="cellIs" dxfId="20" priority="48" operator="equal">
      <formula>0</formula>
    </cfRule>
  </conditionalFormatting>
  <conditionalFormatting sqref="A9">
    <cfRule type="containsText" dxfId="19" priority="2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D36:E36">
    <cfRule type="cellIs" dxfId="18" priority="20" operator="equal">
      <formula>0</formula>
    </cfRule>
  </conditionalFormatting>
  <conditionalFormatting sqref="C36">
    <cfRule type="cellIs" dxfId="17" priority="19" operator="equal">
      <formula>0</formula>
    </cfRule>
  </conditionalFormatting>
  <conditionalFormatting sqref="L37:P42">
    <cfRule type="cellIs" dxfId="16" priority="18" operator="equal">
      <formula>0</formula>
    </cfRule>
  </conditionalFormatting>
  <conditionalFormatting sqref="I42 F42:G42">
    <cfRule type="cellIs" dxfId="15" priority="17" operator="equal">
      <formula>0</formula>
    </cfRule>
  </conditionalFormatting>
  <conditionalFormatting sqref="K42">
    <cfRule type="cellIs" dxfId="14" priority="16" operator="equal">
      <formula>0</formula>
    </cfRule>
  </conditionalFormatting>
  <conditionalFormatting sqref="I38 F36:G40 I36 I40">
    <cfRule type="cellIs" dxfId="13" priority="15" operator="equal">
      <formula>0</formula>
    </cfRule>
  </conditionalFormatting>
  <conditionalFormatting sqref="K37:K41">
    <cfRule type="cellIs" dxfId="12" priority="14" operator="equal">
      <formula>0</formula>
    </cfRule>
  </conditionalFormatting>
  <conditionalFormatting sqref="J36:J46">
    <cfRule type="cellIs" dxfId="11" priority="13" operator="equal">
      <formula>0</formula>
    </cfRule>
  </conditionalFormatting>
  <conditionalFormatting sqref="I37">
    <cfRule type="cellIs" dxfId="10" priority="12" operator="equal">
      <formula>0</formula>
    </cfRule>
  </conditionalFormatting>
  <conditionalFormatting sqref="K36">
    <cfRule type="cellIs" dxfId="9" priority="11" operator="equal">
      <formula>0</formula>
    </cfRule>
  </conditionalFormatting>
  <conditionalFormatting sqref="I39">
    <cfRule type="cellIs" dxfId="8" priority="10" operator="equal">
      <formula>0</formula>
    </cfRule>
  </conditionalFormatting>
  <conditionalFormatting sqref="L54:P54">
    <cfRule type="cellIs" dxfId="7" priority="9" operator="equal">
      <formula>0</formula>
    </cfRule>
  </conditionalFormatting>
  <conditionalFormatting sqref="I54:J54 F54:G54">
    <cfRule type="cellIs" dxfId="6" priority="8" operator="equal">
      <formula>0</formula>
    </cfRule>
  </conditionalFormatting>
  <conditionalFormatting sqref="K54">
    <cfRule type="cellIs" dxfId="5" priority="7" operator="equal">
      <formula>0</formula>
    </cfRule>
  </conditionalFormatting>
  <conditionalFormatting sqref="I16 F16:G16">
    <cfRule type="cellIs" dxfId="4" priority="5" operator="equal">
      <formula>0</formula>
    </cfRule>
  </conditionalFormatting>
  <conditionalFormatting sqref="F41:G41 I41">
    <cfRule type="cellIs" dxfId="3" priority="2" operator="equal">
      <formula>0</formula>
    </cfRule>
  </conditionalFormatting>
  <conditionalFormatting sqref="H41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" operator="containsText" id="{9C848299-F747-4D4C-BE47-58A1BBDB8A5B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58" operator="containsText" id="{1A9581D5-9790-4D5D-94E5-4E7B8C258AD0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1"/>
  <sheetViews>
    <sheetView topLeftCell="A10" workbookViewId="0">
      <selection activeCell="I43" sqref="I43"/>
    </sheetView>
  </sheetViews>
  <sheetFormatPr defaultColWidth="3.6640625" defaultRowHeight="10.199999999999999"/>
  <cols>
    <col min="1" max="1" width="4" style="1" customWidth="1"/>
    <col min="2" max="2" width="5.33203125" style="1" customWidth="1"/>
    <col min="3" max="3" width="28.44140625" style="1" customWidth="1"/>
    <col min="4" max="4" width="6.77734375" style="1" customWidth="1"/>
    <col min="5" max="5" width="11.77734375" style="1" customWidth="1"/>
    <col min="6" max="6" width="9.777343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44140625" style="1" customWidth="1"/>
    <col min="191" max="191" width="5.77734375" style="1" customWidth="1"/>
    <col min="192" max="192" width="36" style="1" customWidth="1"/>
    <col min="193" max="193" width="9.6640625" style="1" customWidth="1"/>
    <col min="194" max="194" width="11.777343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77734375" style="1" customWidth="1"/>
    <col min="200" max="444" width="9.109375" style="1" customWidth="1"/>
    <col min="445" max="445" width="3.6640625" style="1"/>
    <col min="446" max="446" width="4.44140625" style="1" customWidth="1"/>
    <col min="447" max="447" width="5.77734375" style="1" customWidth="1"/>
    <col min="448" max="448" width="36" style="1" customWidth="1"/>
    <col min="449" max="449" width="9.6640625" style="1" customWidth="1"/>
    <col min="450" max="450" width="11.777343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77734375" style="1" customWidth="1"/>
    <col min="456" max="700" width="9.109375" style="1" customWidth="1"/>
    <col min="701" max="701" width="3.6640625" style="1"/>
    <col min="702" max="702" width="4.44140625" style="1" customWidth="1"/>
    <col min="703" max="703" width="5.77734375" style="1" customWidth="1"/>
    <col min="704" max="704" width="36" style="1" customWidth="1"/>
    <col min="705" max="705" width="9.6640625" style="1" customWidth="1"/>
    <col min="706" max="706" width="11.777343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77734375" style="1" customWidth="1"/>
    <col min="712" max="956" width="9.109375" style="1" customWidth="1"/>
    <col min="957" max="957" width="3.6640625" style="1"/>
    <col min="958" max="958" width="4.44140625" style="1" customWidth="1"/>
    <col min="959" max="959" width="5.77734375" style="1" customWidth="1"/>
    <col min="960" max="960" width="36" style="1" customWidth="1"/>
    <col min="961" max="961" width="9.6640625" style="1" customWidth="1"/>
    <col min="962" max="962" width="11.777343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77734375" style="1" customWidth="1"/>
    <col min="968" max="1212" width="9.109375" style="1" customWidth="1"/>
    <col min="1213" max="1213" width="3.6640625" style="1"/>
    <col min="1214" max="1214" width="4.44140625" style="1" customWidth="1"/>
    <col min="1215" max="1215" width="5.77734375" style="1" customWidth="1"/>
    <col min="1216" max="1216" width="36" style="1" customWidth="1"/>
    <col min="1217" max="1217" width="9.6640625" style="1" customWidth="1"/>
    <col min="1218" max="1218" width="11.777343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77734375" style="1" customWidth="1"/>
    <col min="1224" max="1468" width="9.109375" style="1" customWidth="1"/>
    <col min="1469" max="1469" width="3.6640625" style="1"/>
    <col min="1470" max="1470" width="4.44140625" style="1" customWidth="1"/>
    <col min="1471" max="1471" width="5.77734375" style="1" customWidth="1"/>
    <col min="1472" max="1472" width="36" style="1" customWidth="1"/>
    <col min="1473" max="1473" width="9.6640625" style="1" customWidth="1"/>
    <col min="1474" max="1474" width="11.777343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77734375" style="1" customWidth="1"/>
    <col min="1480" max="1724" width="9.109375" style="1" customWidth="1"/>
    <col min="1725" max="1725" width="3.6640625" style="1"/>
    <col min="1726" max="1726" width="4.44140625" style="1" customWidth="1"/>
    <col min="1727" max="1727" width="5.77734375" style="1" customWidth="1"/>
    <col min="1728" max="1728" width="36" style="1" customWidth="1"/>
    <col min="1729" max="1729" width="9.6640625" style="1" customWidth="1"/>
    <col min="1730" max="1730" width="11.777343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77734375" style="1" customWidth="1"/>
    <col min="1736" max="1980" width="9.109375" style="1" customWidth="1"/>
    <col min="1981" max="1981" width="3.6640625" style="1"/>
    <col min="1982" max="1982" width="4.44140625" style="1" customWidth="1"/>
    <col min="1983" max="1983" width="5.77734375" style="1" customWidth="1"/>
    <col min="1984" max="1984" width="36" style="1" customWidth="1"/>
    <col min="1985" max="1985" width="9.6640625" style="1" customWidth="1"/>
    <col min="1986" max="1986" width="11.777343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77734375" style="1" customWidth="1"/>
    <col min="1992" max="2236" width="9.109375" style="1" customWidth="1"/>
    <col min="2237" max="2237" width="3.6640625" style="1"/>
    <col min="2238" max="2238" width="4.44140625" style="1" customWidth="1"/>
    <col min="2239" max="2239" width="5.77734375" style="1" customWidth="1"/>
    <col min="2240" max="2240" width="36" style="1" customWidth="1"/>
    <col min="2241" max="2241" width="9.6640625" style="1" customWidth="1"/>
    <col min="2242" max="2242" width="11.777343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77734375" style="1" customWidth="1"/>
    <col min="2248" max="2492" width="9.109375" style="1" customWidth="1"/>
    <col min="2493" max="2493" width="3.6640625" style="1"/>
    <col min="2494" max="2494" width="4.44140625" style="1" customWidth="1"/>
    <col min="2495" max="2495" width="5.77734375" style="1" customWidth="1"/>
    <col min="2496" max="2496" width="36" style="1" customWidth="1"/>
    <col min="2497" max="2497" width="9.6640625" style="1" customWidth="1"/>
    <col min="2498" max="2498" width="11.777343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77734375" style="1" customWidth="1"/>
    <col min="2504" max="2748" width="9.109375" style="1" customWidth="1"/>
    <col min="2749" max="2749" width="3.6640625" style="1"/>
    <col min="2750" max="2750" width="4.44140625" style="1" customWidth="1"/>
    <col min="2751" max="2751" width="5.77734375" style="1" customWidth="1"/>
    <col min="2752" max="2752" width="36" style="1" customWidth="1"/>
    <col min="2753" max="2753" width="9.6640625" style="1" customWidth="1"/>
    <col min="2754" max="2754" width="11.777343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77734375" style="1" customWidth="1"/>
    <col min="2760" max="3004" width="9.109375" style="1" customWidth="1"/>
    <col min="3005" max="3005" width="3.6640625" style="1"/>
    <col min="3006" max="3006" width="4.44140625" style="1" customWidth="1"/>
    <col min="3007" max="3007" width="5.77734375" style="1" customWidth="1"/>
    <col min="3008" max="3008" width="36" style="1" customWidth="1"/>
    <col min="3009" max="3009" width="9.6640625" style="1" customWidth="1"/>
    <col min="3010" max="3010" width="11.777343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77734375" style="1" customWidth="1"/>
    <col min="3016" max="3260" width="9.109375" style="1" customWidth="1"/>
    <col min="3261" max="3261" width="3.6640625" style="1"/>
    <col min="3262" max="3262" width="4.44140625" style="1" customWidth="1"/>
    <col min="3263" max="3263" width="5.77734375" style="1" customWidth="1"/>
    <col min="3264" max="3264" width="36" style="1" customWidth="1"/>
    <col min="3265" max="3265" width="9.6640625" style="1" customWidth="1"/>
    <col min="3266" max="3266" width="11.777343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77734375" style="1" customWidth="1"/>
    <col min="3272" max="3516" width="9.109375" style="1" customWidth="1"/>
    <col min="3517" max="3517" width="3.6640625" style="1"/>
    <col min="3518" max="3518" width="4.44140625" style="1" customWidth="1"/>
    <col min="3519" max="3519" width="5.77734375" style="1" customWidth="1"/>
    <col min="3520" max="3520" width="36" style="1" customWidth="1"/>
    <col min="3521" max="3521" width="9.6640625" style="1" customWidth="1"/>
    <col min="3522" max="3522" width="11.777343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77734375" style="1" customWidth="1"/>
    <col min="3528" max="3772" width="9.109375" style="1" customWidth="1"/>
    <col min="3773" max="3773" width="3.6640625" style="1"/>
    <col min="3774" max="3774" width="4.44140625" style="1" customWidth="1"/>
    <col min="3775" max="3775" width="5.77734375" style="1" customWidth="1"/>
    <col min="3776" max="3776" width="36" style="1" customWidth="1"/>
    <col min="3777" max="3777" width="9.6640625" style="1" customWidth="1"/>
    <col min="3778" max="3778" width="11.777343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77734375" style="1" customWidth="1"/>
    <col min="3784" max="4028" width="9.109375" style="1" customWidth="1"/>
    <col min="4029" max="4029" width="3.6640625" style="1"/>
    <col min="4030" max="4030" width="4.44140625" style="1" customWidth="1"/>
    <col min="4031" max="4031" width="5.77734375" style="1" customWidth="1"/>
    <col min="4032" max="4032" width="36" style="1" customWidth="1"/>
    <col min="4033" max="4033" width="9.6640625" style="1" customWidth="1"/>
    <col min="4034" max="4034" width="11.777343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77734375" style="1" customWidth="1"/>
    <col min="4040" max="4284" width="9.109375" style="1" customWidth="1"/>
    <col min="4285" max="4285" width="3.6640625" style="1"/>
    <col min="4286" max="4286" width="4.44140625" style="1" customWidth="1"/>
    <col min="4287" max="4287" width="5.77734375" style="1" customWidth="1"/>
    <col min="4288" max="4288" width="36" style="1" customWidth="1"/>
    <col min="4289" max="4289" width="9.6640625" style="1" customWidth="1"/>
    <col min="4290" max="4290" width="11.777343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77734375" style="1" customWidth="1"/>
    <col min="4296" max="4540" width="9.109375" style="1" customWidth="1"/>
    <col min="4541" max="4541" width="3.6640625" style="1"/>
    <col min="4542" max="4542" width="4.44140625" style="1" customWidth="1"/>
    <col min="4543" max="4543" width="5.77734375" style="1" customWidth="1"/>
    <col min="4544" max="4544" width="36" style="1" customWidth="1"/>
    <col min="4545" max="4545" width="9.6640625" style="1" customWidth="1"/>
    <col min="4546" max="4546" width="11.777343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77734375" style="1" customWidth="1"/>
    <col min="4552" max="4796" width="9.109375" style="1" customWidth="1"/>
    <col min="4797" max="4797" width="3.6640625" style="1"/>
    <col min="4798" max="4798" width="4.44140625" style="1" customWidth="1"/>
    <col min="4799" max="4799" width="5.77734375" style="1" customWidth="1"/>
    <col min="4800" max="4800" width="36" style="1" customWidth="1"/>
    <col min="4801" max="4801" width="9.6640625" style="1" customWidth="1"/>
    <col min="4802" max="4802" width="11.777343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77734375" style="1" customWidth="1"/>
    <col min="4808" max="5052" width="9.109375" style="1" customWidth="1"/>
    <col min="5053" max="5053" width="3.6640625" style="1"/>
    <col min="5054" max="5054" width="4.44140625" style="1" customWidth="1"/>
    <col min="5055" max="5055" width="5.77734375" style="1" customWidth="1"/>
    <col min="5056" max="5056" width="36" style="1" customWidth="1"/>
    <col min="5057" max="5057" width="9.6640625" style="1" customWidth="1"/>
    <col min="5058" max="5058" width="11.777343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77734375" style="1" customWidth="1"/>
    <col min="5064" max="5308" width="9.109375" style="1" customWidth="1"/>
    <col min="5309" max="5309" width="3.6640625" style="1"/>
    <col min="5310" max="5310" width="4.44140625" style="1" customWidth="1"/>
    <col min="5311" max="5311" width="5.77734375" style="1" customWidth="1"/>
    <col min="5312" max="5312" width="36" style="1" customWidth="1"/>
    <col min="5313" max="5313" width="9.6640625" style="1" customWidth="1"/>
    <col min="5314" max="5314" width="11.777343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77734375" style="1" customWidth="1"/>
    <col min="5320" max="5564" width="9.109375" style="1" customWidth="1"/>
    <col min="5565" max="5565" width="3.6640625" style="1"/>
    <col min="5566" max="5566" width="4.44140625" style="1" customWidth="1"/>
    <col min="5567" max="5567" width="5.77734375" style="1" customWidth="1"/>
    <col min="5568" max="5568" width="36" style="1" customWidth="1"/>
    <col min="5569" max="5569" width="9.6640625" style="1" customWidth="1"/>
    <col min="5570" max="5570" width="11.777343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77734375" style="1" customWidth="1"/>
    <col min="5576" max="5820" width="9.109375" style="1" customWidth="1"/>
    <col min="5821" max="5821" width="3.6640625" style="1"/>
    <col min="5822" max="5822" width="4.44140625" style="1" customWidth="1"/>
    <col min="5823" max="5823" width="5.77734375" style="1" customWidth="1"/>
    <col min="5824" max="5824" width="36" style="1" customWidth="1"/>
    <col min="5825" max="5825" width="9.6640625" style="1" customWidth="1"/>
    <col min="5826" max="5826" width="11.777343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77734375" style="1" customWidth="1"/>
    <col min="5832" max="6076" width="9.109375" style="1" customWidth="1"/>
    <col min="6077" max="6077" width="3.6640625" style="1"/>
    <col min="6078" max="6078" width="4.44140625" style="1" customWidth="1"/>
    <col min="6079" max="6079" width="5.77734375" style="1" customWidth="1"/>
    <col min="6080" max="6080" width="36" style="1" customWidth="1"/>
    <col min="6081" max="6081" width="9.6640625" style="1" customWidth="1"/>
    <col min="6082" max="6082" width="11.777343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77734375" style="1" customWidth="1"/>
    <col min="6088" max="6332" width="9.109375" style="1" customWidth="1"/>
    <col min="6333" max="6333" width="3.6640625" style="1"/>
    <col min="6334" max="6334" width="4.44140625" style="1" customWidth="1"/>
    <col min="6335" max="6335" width="5.77734375" style="1" customWidth="1"/>
    <col min="6336" max="6336" width="36" style="1" customWidth="1"/>
    <col min="6337" max="6337" width="9.6640625" style="1" customWidth="1"/>
    <col min="6338" max="6338" width="11.777343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77734375" style="1" customWidth="1"/>
    <col min="6344" max="6588" width="9.109375" style="1" customWidth="1"/>
    <col min="6589" max="6589" width="3.6640625" style="1"/>
    <col min="6590" max="6590" width="4.44140625" style="1" customWidth="1"/>
    <col min="6591" max="6591" width="5.77734375" style="1" customWidth="1"/>
    <col min="6592" max="6592" width="36" style="1" customWidth="1"/>
    <col min="6593" max="6593" width="9.6640625" style="1" customWidth="1"/>
    <col min="6594" max="6594" width="11.777343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77734375" style="1" customWidth="1"/>
    <col min="6600" max="6844" width="9.109375" style="1" customWidth="1"/>
    <col min="6845" max="6845" width="3.6640625" style="1"/>
    <col min="6846" max="6846" width="4.44140625" style="1" customWidth="1"/>
    <col min="6847" max="6847" width="5.77734375" style="1" customWidth="1"/>
    <col min="6848" max="6848" width="36" style="1" customWidth="1"/>
    <col min="6849" max="6849" width="9.6640625" style="1" customWidth="1"/>
    <col min="6850" max="6850" width="11.777343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77734375" style="1" customWidth="1"/>
    <col min="6856" max="7100" width="9.109375" style="1" customWidth="1"/>
    <col min="7101" max="7101" width="3.6640625" style="1"/>
    <col min="7102" max="7102" width="4.44140625" style="1" customWidth="1"/>
    <col min="7103" max="7103" width="5.77734375" style="1" customWidth="1"/>
    <col min="7104" max="7104" width="36" style="1" customWidth="1"/>
    <col min="7105" max="7105" width="9.6640625" style="1" customWidth="1"/>
    <col min="7106" max="7106" width="11.777343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77734375" style="1" customWidth="1"/>
    <col min="7112" max="7356" width="9.109375" style="1" customWidth="1"/>
    <col min="7357" max="7357" width="3.6640625" style="1"/>
    <col min="7358" max="7358" width="4.44140625" style="1" customWidth="1"/>
    <col min="7359" max="7359" width="5.77734375" style="1" customWidth="1"/>
    <col min="7360" max="7360" width="36" style="1" customWidth="1"/>
    <col min="7361" max="7361" width="9.6640625" style="1" customWidth="1"/>
    <col min="7362" max="7362" width="11.777343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77734375" style="1" customWidth="1"/>
    <col min="7368" max="7612" width="9.109375" style="1" customWidth="1"/>
    <col min="7613" max="7613" width="3.6640625" style="1"/>
    <col min="7614" max="7614" width="4.44140625" style="1" customWidth="1"/>
    <col min="7615" max="7615" width="5.77734375" style="1" customWidth="1"/>
    <col min="7616" max="7616" width="36" style="1" customWidth="1"/>
    <col min="7617" max="7617" width="9.6640625" style="1" customWidth="1"/>
    <col min="7618" max="7618" width="11.777343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77734375" style="1" customWidth="1"/>
    <col min="7624" max="7868" width="9.109375" style="1" customWidth="1"/>
    <col min="7869" max="7869" width="3.6640625" style="1"/>
    <col min="7870" max="7870" width="4.44140625" style="1" customWidth="1"/>
    <col min="7871" max="7871" width="5.77734375" style="1" customWidth="1"/>
    <col min="7872" max="7872" width="36" style="1" customWidth="1"/>
    <col min="7873" max="7873" width="9.6640625" style="1" customWidth="1"/>
    <col min="7874" max="7874" width="11.777343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77734375" style="1" customWidth="1"/>
    <col min="7880" max="8124" width="9.109375" style="1" customWidth="1"/>
    <col min="8125" max="8125" width="3.6640625" style="1"/>
    <col min="8126" max="8126" width="4.44140625" style="1" customWidth="1"/>
    <col min="8127" max="8127" width="5.77734375" style="1" customWidth="1"/>
    <col min="8128" max="8128" width="36" style="1" customWidth="1"/>
    <col min="8129" max="8129" width="9.6640625" style="1" customWidth="1"/>
    <col min="8130" max="8130" width="11.777343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77734375" style="1" customWidth="1"/>
    <col min="8136" max="8380" width="9.109375" style="1" customWidth="1"/>
    <col min="8381" max="8381" width="3.6640625" style="1"/>
    <col min="8382" max="8382" width="4.44140625" style="1" customWidth="1"/>
    <col min="8383" max="8383" width="5.77734375" style="1" customWidth="1"/>
    <col min="8384" max="8384" width="36" style="1" customWidth="1"/>
    <col min="8385" max="8385" width="9.6640625" style="1" customWidth="1"/>
    <col min="8386" max="8386" width="11.777343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77734375" style="1" customWidth="1"/>
    <col min="8392" max="8636" width="9.109375" style="1" customWidth="1"/>
    <col min="8637" max="8637" width="3.6640625" style="1"/>
    <col min="8638" max="8638" width="4.44140625" style="1" customWidth="1"/>
    <col min="8639" max="8639" width="5.77734375" style="1" customWidth="1"/>
    <col min="8640" max="8640" width="36" style="1" customWidth="1"/>
    <col min="8641" max="8641" width="9.6640625" style="1" customWidth="1"/>
    <col min="8642" max="8642" width="11.777343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77734375" style="1" customWidth="1"/>
    <col min="8648" max="8892" width="9.109375" style="1" customWidth="1"/>
    <col min="8893" max="8893" width="3.6640625" style="1"/>
    <col min="8894" max="8894" width="4.44140625" style="1" customWidth="1"/>
    <col min="8895" max="8895" width="5.77734375" style="1" customWidth="1"/>
    <col min="8896" max="8896" width="36" style="1" customWidth="1"/>
    <col min="8897" max="8897" width="9.6640625" style="1" customWidth="1"/>
    <col min="8898" max="8898" width="11.777343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77734375" style="1" customWidth="1"/>
    <col min="8904" max="9148" width="9.109375" style="1" customWidth="1"/>
    <col min="9149" max="9149" width="3.6640625" style="1"/>
    <col min="9150" max="9150" width="4.44140625" style="1" customWidth="1"/>
    <col min="9151" max="9151" width="5.77734375" style="1" customWidth="1"/>
    <col min="9152" max="9152" width="36" style="1" customWidth="1"/>
    <col min="9153" max="9153" width="9.6640625" style="1" customWidth="1"/>
    <col min="9154" max="9154" width="11.777343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77734375" style="1" customWidth="1"/>
    <col min="9160" max="9404" width="9.109375" style="1" customWidth="1"/>
    <col min="9405" max="9405" width="3.6640625" style="1"/>
    <col min="9406" max="9406" width="4.44140625" style="1" customWidth="1"/>
    <col min="9407" max="9407" width="5.77734375" style="1" customWidth="1"/>
    <col min="9408" max="9408" width="36" style="1" customWidth="1"/>
    <col min="9409" max="9409" width="9.6640625" style="1" customWidth="1"/>
    <col min="9410" max="9410" width="11.777343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77734375" style="1" customWidth="1"/>
    <col min="9416" max="9660" width="9.109375" style="1" customWidth="1"/>
    <col min="9661" max="9661" width="3.6640625" style="1"/>
    <col min="9662" max="9662" width="4.44140625" style="1" customWidth="1"/>
    <col min="9663" max="9663" width="5.77734375" style="1" customWidth="1"/>
    <col min="9664" max="9664" width="36" style="1" customWidth="1"/>
    <col min="9665" max="9665" width="9.6640625" style="1" customWidth="1"/>
    <col min="9666" max="9666" width="11.777343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77734375" style="1" customWidth="1"/>
    <col min="9672" max="9916" width="9.109375" style="1" customWidth="1"/>
    <col min="9917" max="9917" width="3.6640625" style="1"/>
    <col min="9918" max="9918" width="4.44140625" style="1" customWidth="1"/>
    <col min="9919" max="9919" width="5.77734375" style="1" customWidth="1"/>
    <col min="9920" max="9920" width="36" style="1" customWidth="1"/>
    <col min="9921" max="9921" width="9.6640625" style="1" customWidth="1"/>
    <col min="9922" max="9922" width="11.777343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77734375" style="1" customWidth="1"/>
    <col min="9928" max="10172" width="9.109375" style="1" customWidth="1"/>
    <col min="10173" max="10173" width="3.6640625" style="1"/>
    <col min="10174" max="10174" width="4.44140625" style="1" customWidth="1"/>
    <col min="10175" max="10175" width="5.77734375" style="1" customWidth="1"/>
    <col min="10176" max="10176" width="36" style="1" customWidth="1"/>
    <col min="10177" max="10177" width="9.6640625" style="1" customWidth="1"/>
    <col min="10178" max="10178" width="11.777343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77734375" style="1" customWidth="1"/>
    <col min="10184" max="10428" width="9.109375" style="1" customWidth="1"/>
    <col min="10429" max="10429" width="3.6640625" style="1"/>
    <col min="10430" max="10430" width="4.44140625" style="1" customWidth="1"/>
    <col min="10431" max="10431" width="5.77734375" style="1" customWidth="1"/>
    <col min="10432" max="10432" width="36" style="1" customWidth="1"/>
    <col min="10433" max="10433" width="9.6640625" style="1" customWidth="1"/>
    <col min="10434" max="10434" width="11.777343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77734375" style="1" customWidth="1"/>
    <col min="10440" max="10684" width="9.109375" style="1" customWidth="1"/>
    <col min="10685" max="10685" width="3.6640625" style="1"/>
    <col min="10686" max="10686" width="4.44140625" style="1" customWidth="1"/>
    <col min="10687" max="10687" width="5.77734375" style="1" customWidth="1"/>
    <col min="10688" max="10688" width="36" style="1" customWidth="1"/>
    <col min="10689" max="10689" width="9.6640625" style="1" customWidth="1"/>
    <col min="10690" max="10690" width="11.777343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77734375" style="1" customWidth="1"/>
    <col min="10696" max="10940" width="9.109375" style="1" customWidth="1"/>
    <col min="10941" max="10941" width="3.6640625" style="1"/>
    <col min="10942" max="10942" width="4.44140625" style="1" customWidth="1"/>
    <col min="10943" max="10943" width="5.77734375" style="1" customWidth="1"/>
    <col min="10944" max="10944" width="36" style="1" customWidth="1"/>
    <col min="10945" max="10945" width="9.6640625" style="1" customWidth="1"/>
    <col min="10946" max="10946" width="11.777343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77734375" style="1" customWidth="1"/>
    <col min="10952" max="11196" width="9.109375" style="1" customWidth="1"/>
    <col min="11197" max="11197" width="3.6640625" style="1"/>
    <col min="11198" max="11198" width="4.44140625" style="1" customWidth="1"/>
    <col min="11199" max="11199" width="5.77734375" style="1" customWidth="1"/>
    <col min="11200" max="11200" width="36" style="1" customWidth="1"/>
    <col min="11201" max="11201" width="9.6640625" style="1" customWidth="1"/>
    <col min="11202" max="11202" width="11.777343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77734375" style="1" customWidth="1"/>
    <col min="11208" max="11452" width="9.109375" style="1" customWidth="1"/>
    <col min="11453" max="11453" width="3.6640625" style="1"/>
    <col min="11454" max="11454" width="4.44140625" style="1" customWidth="1"/>
    <col min="11455" max="11455" width="5.77734375" style="1" customWidth="1"/>
    <col min="11456" max="11456" width="36" style="1" customWidth="1"/>
    <col min="11457" max="11457" width="9.6640625" style="1" customWidth="1"/>
    <col min="11458" max="11458" width="11.777343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77734375" style="1" customWidth="1"/>
    <col min="11464" max="11708" width="9.109375" style="1" customWidth="1"/>
    <col min="11709" max="11709" width="3.6640625" style="1"/>
    <col min="11710" max="11710" width="4.44140625" style="1" customWidth="1"/>
    <col min="11711" max="11711" width="5.77734375" style="1" customWidth="1"/>
    <col min="11712" max="11712" width="36" style="1" customWidth="1"/>
    <col min="11713" max="11713" width="9.6640625" style="1" customWidth="1"/>
    <col min="11714" max="11714" width="11.777343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77734375" style="1" customWidth="1"/>
    <col min="11720" max="11964" width="9.109375" style="1" customWidth="1"/>
    <col min="11965" max="11965" width="3.6640625" style="1"/>
    <col min="11966" max="11966" width="4.44140625" style="1" customWidth="1"/>
    <col min="11967" max="11967" width="5.77734375" style="1" customWidth="1"/>
    <col min="11968" max="11968" width="36" style="1" customWidth="1"/>
    <col min="11969" max="11969" width="9.6640625" style="1" customWidth="1"/>
    <col min="11970" max="11970" width="11.777343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77734375" style="1" customWidth="1"/>
    <col min="11976" max="12220" width="9.109375" style="1" customWidth="1"/>
    <col min="12221" max="12221" width="3.6640625" style="1"/>
    <col min="12222" max="12222" width="4.44140625" style="1" customWidth="1"/>
    <col min="12223" max="12223" width="5.77734375" style="1" customWidth="1"/>
    <col min="12224" max="12224" width="36" style="1" customWidth="1"/>
    <col min="12225" max="12225" width="9.6640625" style="1" customWidth="1"/>
    <col min="12226" max="12226" width="11.777343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77734375" style="1" customWidth="1"/>
    <col min="12232" max="12476" width="9.109375" style="1" customWidth="1"/>
    <col min="12477" max="12477" width="3.6640625" style="1"/>
    <col min="12478" max="12478" width="4.44140625" style="1" customWidth="1"/>
    <col min="12479" max="12479" width="5.77734375" style="1" customWidth="1"/>
    <col min="12480" max="12480" width="36" style="1" customWidth="1"/>
    <col min="12481" max="12481" width="9.6640625" style="1" customWidth="1"/>
    <col min="12482" max="12482" width="11.777343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77734375" style="1" customWidth="1"/>
    <col min="12488" max="12732" width="9.109375" style="1" customWidth="1"/>
    <col min="12733" max="12733" width="3.6640625" style="1"/>
    <col min="12734" max="12734" width="4.44140625" style="1" customWidth="1"/>
    <col min="12735" max="12735" width="5.77734375" style="1" customWidth="1"/>
    <col min="12736" max="12736" width="36" style="1" customWidth="1"/>
    <col min="12737" max="12737" width="9.6640625" style="1" customWidth="1"/>
    <col min="12738" max="12738" width="11.777343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77734375" style="1" customWidth="1"/>
    <col min="12744" max="12988" width="9.109375" style="1" customWidth="1"/>
    <col min="12989" max="12989" width="3.6640625" style="1"/>
    <col min="12990" max="12990" width="4.44140625" style="1" customWidth="1"/>
    <col min="12991" max="12991" width="5.77734375" style="1" customWidth="1"/>
    <col min="12992" max="12992" width="36" style="1" customWidth="1"/>
    <col min="12993" max="12993" width="9.6640625" style="1" customWidth="1"/>
    <col min="12994" max="12994" width="11.777343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77734375" style="1" customWidth="1"/>
    <col min="13000" max="13244" width="9.109375" style="1" customWidth="1"/>
    <col min="13245" max="13245" width="3.6640625" style="1"/>
    <col min="13246" max="13246" width="4.44140625" style="1" customWidth="1"/>
    <col min="13247" max="13247" width="5.77734375" style="1" customWidth="1"/>
    <col min="13248" max="13248" width="36" style="1" customWidth="1"/>
    <col min="13249" max="13249" width="9.6640625" style="1" customWidth="1"/>
    <col min="13250" max="13250" width="11.777343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77734375" style="1" customWidth="1"/>
    <col min="13256" max="13500" width="9.109375" style="1" customWidth="1"/>
    <col min="13501" max="13501" width="3.6640625" style="1"/>
    <col min="13502" max="13502" width="4.44140625" style="1" customWidth="1"/>
    <col min="13503" max="13503" width="5.77734375" style="1" customWidth="1"/>
    <col min="13504" max="13504" width="36" style="1" customWidth="1"/>
    <col min="13505" max="13505" width="9.6640625" style="1" customWidth="1"/>
    <col min="13506" max="13506" width="11.777343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77734375" style="1" customWidth="1"/>
    <col min="13512" max="13756" width="9.109375" style="1" customWidth="1"/>
    <col min="13757" max="13757" width="3.6640625" style="1"/>
    <col min="13758" max="13758" width="4.44140625" style="1" customWidth="1"/>
    <col min="13759" max="13759" width="5.77734375" style="1" customWidth="1"/>
    <col min="13760" max="13760" width="36" style="1" customWidth="1"/>
    <col min="13761" max="13761" width="9.6640625" style="1" customWidth="1"/>
    <col min="13762" max="13762" width="11.777343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77734375" style="1" customWidth="1"/>
    <col min="13768" max="14012" width="9.109375" style="1" customWidth="1"/>
    <col min="14013" max="14013" width="3.6640625" style="1"/>
    <col min="14014" max="14014" width="4.44140625" style="1" customWidth="1"/>
    <col min="14015" max="14015" width="5.77734375" style="1" customWidth="1"/>
    <col min="14016" max="14016" width="36" style="1" customWidth="1"/>
    <col min="14017" max="14017" width="9.6640625" style="1" customWidth="1"/>
    <col min="14018" max="14018" width="11.777343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77734375" style="1" customWidth="1"/>
    <col min="14024" max="14268" width="9.109375" style="1" customWidth="1"/>
    <col min="14269" max="14269" width="3.6640625" style="1"/>
    <col min="14270" max="14270" width="4.44140625" style="1" customWidth="1"/>
    <col min="14271" max="14271" width="5.77734375" style="1" customWidth="1"/>
    <col min="14272" max="14272" width="36" style="1" customWidth="1"/>
    <col min="14273" max="14273" width="9.6640625" style="1" customWidth="1"/>
    <col min="14274" max="14274" width="11.777343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77734375" style="1" customWidth="1"/>
    <col min="14280" max="14524" width="9.109375" style="1" customWidth="1"/>
    <col min="14525" max="14525" width="3.6640625" style="1"/>
    <col min="14526" max="14526" width="4.44140625" style="1" customWidth="1"/>
    <col min="14527" max="14527" width="5.77734375" style="1" customWidth="1"/>
    <col min="14528" max="14528" width="36" style="1" customWidth="1"/>
    <col min="14529" max="14529" width="9.6640625" style="1" customWidth="1"/>
    <col min="14530" max="14530" width="11.777343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77734375" style="1" customWidth="1"/>
    <col min="14536" max="14780" width="9.109375" style="1" customWidth="1"/>
    <col min="14781" max="14781" width="3.6640625" style="1"/>
    <col min="14782" max="14782" width="4.44140625" style="1" customWidth="1"/>
    <col min="14783" max="14783" width="5.77734375" style="1" customWidth="1"/>
    <col min="14784" max="14784" width="36" style="1" customWidth="1"/>
    <col min="14785" max="14785" width="9.6640625" style="1" customWidth="1"/>
    <col min="14786" max="14786" width="11.777343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77734375" style="1" customWidth="1"/>
    <col min="14792" max="15036" width="9.109375" style="1" customWidth="1"/>
    <col min="15037" max="15037" width="3.6640625" style="1"/>
    <col min="15038" max="15038" width="4.44140625" style="1" customWidth="1"/>
    <col min="15039" max="15039" width="5.77734375" style="1" customWidth="1"/>
    <col min="15040" max="15040" width="36" style="1" customWidth="1"/>
    <col min="15041" max="15041" width="9.6640625" style="1" customWidth="1"/>
    <col min="15042" max="15042" width="11.777343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77734375" style="1" customWidth="1"/>
    <col min="15048" max="15292" width="9.109375" style="1" customWidth="1"/>
    <col min="15293" max="15293" width="3.6640625" style="1"/>
    <col min="15294" max="15294" width="4.44140625" style="1" customWidth="1"/>
    <col min="15295" max="15295" width="5.77734375" style="1" customWidth="1"/>
    <col min="15296" max="15296" width="36" style="1" customWidth="1"/>
    <col min="15297" max="15297" width="9.6640625" style="1" customWidth="1"/>
    <col min="15298" max="15298" width="11.777343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77734375" style="1" customWidth="1"/>
    <col min="15304" max="15548" width="9.109375" style="1" customWidth="1"/>
    <col min="15549" max="15549" width="3.6640625" style="1"/>
    <col min="15550" max="15550" width="4.44140625" style="1" customWidth="1"/>
    <col min="15551" max="15551" width="5.77734375" style="1" customWidth="1"/>
    <col min="15552" max="15552" width="36" style="1" customWidth="1"/>
    <col min="15553" max="15553" width="9.6640625" style="1" customWidth="1"/>
    <col min="15554" max="15554" width="11.777343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77734375" style="1" customWidth="1"/>
    <col min="15560" max="15804" width="9.109375" style="1" customWidth="1"/>
    <col min="15805" max="15805" width="3.6640625" style="1"/>
    <col min="15806" max="15806" width="4.44140625" style="1" customWidth="1"/>
    <col min="15807" max="15807" width="5.77734375" style="1" customWidth="1"/>
    <col min="15808" max="15808" width="36" style="1" customWidth="1"/>
    <col min="15809" max="15809" width="9.6640625" style="1" customWidth="1"/>
    <col min="15810" max="15810" width="11.777343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77734375" style="1" customWidth="1"/>
    <col min="15816" max="16060" width="9.109375" style="1" customWidth="1"/>
    <col min="16061" max="16061" width="3.6640625" style="1"/>
    <col min="16062" max="16062" width="4.44140625" style="1" customWidth="1"/>
    <col min="16063" max="16063" width="5.77734375" style="1" customWidth="1"/>
    <col min="16064" max="16064" width="36" style="1" customWidth="1"/>
    <col min="16065" max="16065" width="9.6640625" style="1" customWidth="1"/>
    <col min="16066" max="16066" width="11.777343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77734375" style="1" customWidth="1"/>
    <col min="16072" max="16316" width="9.109375" style="1" customWidth="1"/>
    <col min="16317" max="16384" width="3.6640625" style="1"/>
  </cols>
  <sheetData>
    <row r="1" spans="1:9">
      <c r="C1" s="4"/>
      <c r="G1" s="127"/>
      <c r="H1" s="127"/>
      <c r="I1" s="127"/>
    </row>
    <row r="2" spans="1:9">
      <c r="A2" s="169" t="s">
        <v>16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170" t="s">
        <v>17</v>
      </c>
      <c r="D4" s="170"/>
      <c r="E4" s="170"/>
      <c r="F4" s="170"/>
      <c r="G4" s="170"/>
      <c r="H4" s="170"/>
      <c r="I4" s="170"/>
    </row>
    <row r="5" spans="1:9" ht="11.25" customHeight="1">
      <c r="A5" s="86"/>
      <c r="B5" s="86"/>
      <c r="C5" s="172" t="s">
        <v>52</v>
      </c>
      <c r="D5" s="172"/>
      <c r="E5" s="172"/>
      <c r="F5" s="172"/>
      <c r="G5" s="172"/>
      <c r="H5" s="172"/>
      <c r="I5" s="172"/>
    </row>
    <row r="6" spans="1:9">
      <c r="A6" s="168" t="s">
        <v>18</v>
      </c>
      <c r="B6" s="168"/>
      <c r="C6" s="168"/>
      <c r="D6" s="171" t="str">
        <f>'Kopt a'!B13</f>
        <v>Dzīvojamā māja</v>
      </c>
      <c r="E6" s="171"/>
      <c r="F6" s="171"/>
      <c r="G6" s="171"/>
      <c r="H6" s="171"/>
      <c r="I6" s="171"/>
    </row>
    <row r="7" spans="1:9">
      <c r="A7" s="168" t="s">
        <v>6</v>
      </c>
      <c r="B7" s="168"/>
      <c r="C7" s="168"/>
      <c r="D7" s="166" t="str">
        <f>'Kopt a'!B14</f>
        <v xml:space="preserve">Energoefektivitātes paaugstināšanas projekts dzīvojamai mājai </v>
      </c>
      <c r="E7" s="166"/>
      <c r="F7" s="166"/>
      <c r="G7" s="166"/>
      <c r="H7" s="166"/>
      <c r="I7" s="166"/>
    </row>
    <row r="8" spans="1:9">
      <c r="A8" s="165" t="s">
        <v>19</v>
      </c>
      <c r="B8" s="165"/>
      <c r="C8" s="165"/>
      <c r="D8" s="166" t="str">
        <f>'Kopt a'!B15</f>
        <v>Mātera iela 31, Jelgava, LV-3001, KAD.NR.09000010447001</v>
      </c>
      <c r="E8" s="166"/>
      <c r="F8" s="166"/>
      <c r="G8" s="166"/>
      <c r="H8" s="166"/>
      <c r="I8" s="166"/>
    </row>
    <row r="9" spans="1:9">
      <c r="A9" s="165" t="s">
        <v>20</v>
      </c>
      <c r="B9" s="165"/>
      <c r="C9" s="165"/>
      <c r="D9" s="166">
        <f>'Kopt a'!B16</f>
        <v>0</v>
      </c>
      <c r="E9" s="166"/>
      <c r="F9" s="166"/>
      <c r="G9" s="166"/>
      <c r="H9" s="166"/>
      <c r="I9" s="166"/>
    </row>
    <row r="10" spans="1:9">
      <c r="C10" s="4" t="s">
        <v>21</v>
      </c>
      <c r="D10" s="167">
        <f>E28</f>
        <v>0</v>
      </c>
      <c r="E10" s="167"/>
      <c r="F10" s="79"/>
      <c r="G10" s="79"/>
      <c r="H10" s="79"/>
      <c r="I10" s="79"/>
    </row>
    <row r="11" spans="1:9">
      <c r="C11" s="4" t="s">
        <v>22</v>
      </c>
      <c r="D11" s="167">
        <f>I24</f>
        <v>0</v>
      </c>
      <c r="E11" s="167"/>
      <c r="F11" s="79"/>
      <c r="G11" s="79"/>
      <c r="H11" s="79"/>
      <c r="I11" s="79"/>
    </row>
    <row r="12" spans="1:9" ht="10.8" thickBot="1">
      <c r="F12" s="18"/>
      <c r="G12" s="18"/>
      <c r="H12" s="18"/>
      <c r="I12" s="18"/>
    </row>
    <row r="13" spans="1:9">
      <c r="A13" s="149" t="s">
        <v>23</v>
      </c>
      <c r="B13" s="151" t="s">
        <v>24</v>
      </c>
      <c r="C13" s="153" t="s">
        <v>25</v>
      </c>
      <c r="D13" s="154"/>
      <c r="E13" s="157" t="s">
        <v>26</v>
      </c>
      <c r="F13" s="161" t="s">
        <v>27</v>
      </c>
      <c r="G13" s="162"/>
      <c r="H13" s="162"/>
      <c r="I13" s="163" t="s">
        <v>28</v>
      </c>
    </row>
    <row r="14" spans="1:9" ht="21" thickBot="1">
      <c r="A14" s="150"/>
      <c r="B14" s="152"/>
      <c r="C14" s="155"/>
      <c r="D14" s="156"/>
      <c r="E14" s="158"/>
      <c r="F14" s="19" t="s">
        <v>29</v>
      </c>
      <c r="G14" s="20" t="s">
        <v>30</v>
      </c>
      <c r="H14" s="20" t="s">
        <v>31</v>
      </c>
      <c r="I14" s="164"/>
    </row>
    <row r="15" spans="1:9">
      <c r="A15" s="101">
        <f>IF(E15=0,0,IF(COUNTBLANK(E15)=1,0,COUNTA($E$15:E15)))</f>
        <v>0</v>
      </c>
      <c r="B15" s="100">
        <f>IF(A15=0,0,CONCATENATE("Lt-",A15))</f>
        <v>0</v>
      </c>
      <c r="C15" s="159" t="str">
        <f>'1a'!C2:I2</f>
        <v>Būvlaukuma sagatavošanas darbi</v>
      </c>
      <c r="D15" s="160"/>
      <c r="E15" s="60">
        <f>'1a'!P28</f>
        <v>0</v>
      </c>
      <c r="F15" s="55">
        <f>'1a'!M28</f>
        <v>0</v>
      </c>
      <c r="G15" s="56">
        <f>'1a'!N28</f>
        <v>0</v>
      </c>
      <c r="H15" s="56">
        <f>'1a'!O28</f>
        <v>0</v>
      </c>
      <c r="I15" s="57">
        <f>'1a'!L28</f>
        <v>0</v>
      </c>
    </row>
    <row r="16" spans="1:9">
      <c r="A16" s="74">
        <f>IF(E16=0,0,IF(COUNTBLANK(E16)=1,0,COUNTA($E$15:E16)))</f>
        <v>0</v>
      </c>
      <c r="B16" s="24">
        <f>IF(A16=0,0,CONCATENATE("Lt-",A16))</f>
        <v>0</v>
      </c>
      <c r="C16" s="145" t="str">
        <f>'2a'!C2:I2</f>
        <v>Jumta remonts un bēniņu siltināšana</v>
      </c>
      <c r="D16" s="146"/>
      <c r="E16" s="61">
        <f>'2a'!P61</f>
        <v>0</v>
      </c>
      <c r="F16" s="46">
        <f>'2a'!M61</f>
        <v>0</v>
      </c>
      <c r="G16" s="58">
        <f>'2a'!N61</f>
        <v>0</v>
      </c>
      <c r="H16" s="58">
        <f>'2a'!O61</f>
        <v>0</v>
      </c>
      <c r="I16" s="59">
        <f>'2a'!L61</f>
        <v>0</v>
      </c>
    </row>
    <row r="17" spans="1:9">
      <c r="A17" s="74">
        <f>IF(E17=0,0,IF(COUNTBLANK(E17)=1,0,COUNTA($E$15:E17)))</f>
        <v>0</v>
      </c>
      <c r="B17" s="24">
        <f t="shared" ref="B17:B23" si="0">IF(A17=0,0,CONCATENATE("Lt-",A17))</f>
        <v>0</v>
      </c>
      <c r="C17" s="145" t="str">
        <f>'3a'!C2:I2</f>
        <v>Fasādes siltināšana un apdare</v>
      </c>
      <c r="D17" s="146"/>
      <c r="E17" s="62">
        <f>'3a'!P55</f>
        <v>0</v>
      </c>
      <c r="F17" s="46">
        <f>'3a'!M55</f>
        <v>0</v>
      </c>
      <c r="G17" s="58">
        <f>'3a'!N55</f>
        <v>0</v>
      </c>
      <c r="H17" s="58">
        <f>'3a'!O55</f>
        <v>0</v>
      </c>
      <c r="I17" s="59">
        <f>'3a'!L55</f>
        <v>0</v>
      </c>
    </row>
    <row r="18" spans="1:9" ht="11.25" customHeight="1">
      <c r="A18" s="74">
        <f>IF(E18=0,0,IF(COUNTBLANK(E18)=1,0,COUNTA($E$15:E18)))</f>
        <v>0</v>
      </c>
      <c r="B18" s="24">
        <f t="shared" si="0"/>
        <v>0</v>
      </c>
      <c r="C18" s="145" t="str">
        <f>'4a'!C2:I2</f>
        <v>Cokols</v>
      </c>
      <c r="D18" s="146"/>
      <c r="E18" s="62">
        <f>'4a'!P59</f>
        <v>0</v>
      </c>
      <c r="F18" s="46">
        <f>'4a'!M59</f>
        <v>0</v>
      </c>
      <c r="G18" s="58">
        <f>'4a'!N59</f>
        <v>0</v>
      </c>
      <c r="H18" s="58">
        <f>'4a'!O59</f>
        <v>0</v>
      </c>
      <c r="I18" s="59">
        <f>'4a'!L59</f>
        <v>0</v>
      </c>
    </row>
    <row r="19" spans="1:9">
      <c r="A19" s="74">
        <f>IF(E19=0,0,IF(COUNTBLANK(E19)=1,0,COUNTA($E$15:E19)))</f>
        <v>0</v>
      </c>
      <c r="B19" s="24">
        <f t="shared" si="0"/>
        <v>0</v>
      </c>
      <c r="C19" s="145" t="str">
        <f>'5a'!C2:I2</f>
        <v>Durvju un logu bloku montāža</v>
      </c>
      <c r="D19" s="146"/>
      <c r="E19" s="62">
        <f>'5a'!P44</f>
        <v>0</v>
      </c>
      <c r="F19" s="46">
        <f>'5a'!M44</f>
        <v>0</v>
      </c>
      <c r="G19" s="58">
        <f>'5a'!N44</f>
        <v>0</v>
      </c>
      <c r="H19" s="58">
        <f>'5a'!O44</f>
        <v>0</v>
      </c>
      <c r="I19" s="59">
        <f>'5a'!L44</f>
        <v>0</v>
      </c>
    </row>
    <row r="20" spans="1:9">
      <c r="A20" s="74">
        <f>IF(E20=0,0,IF(COUNTBLANK(E20)=1,0,COUNTA($E$15:E20)))</f>
        <v>0</v>
      </c>
      <c r="B20" s="24">
        <f t="shared" si="0"/>
        <v>0</v>
      </c>
      <c r="C20" s="145" t="str">
        <f>'6a'!C2:I2</f>
        <v>Pagraba griestu siltinašana</v>
      </c>
      <c r="D20" s="146"/>
      <c r="E20" s="62">
        <f>'6a'!P19</f>
        <v>0</v>
      </c>
      <c r="F20" s="46">
        <f>'6a'!M19</f>
        <v>0</v>
      </c>
      <c r="G20" s="58">
        <f>'6a'!N19</f>
        <v>0</v>
      </c>
      <c r="H20" s="58">
        <f>'6a'!O19</f>
        <v>0</v>
      </c>
      <c r="I20" s="59">
        <f>'6a'!L19</f>
        <v>0</v>
      </c>
    </row>
    <row r="21" spans="1:9">
      <c r="A21" s="74">
        <f>IF(E21=0,0,IF(COUNTBLANK(E21)=1,0,COUNTA($E$15:E21)))</f>
        <v>0</v>
      </c>
      <c r="B21" s="24">
        <f t="shared" si="0"/>
        <v>0</v>
      </c>
      <c r="C21" s="145" t="str">
        <f>'7a'!C2:I2</f>
        <v>Kāpņu telpas kosmētiskais remonts</v>
      </c>
      <c r="D21" s="146"/>
      <c r="E21" s="62">
        <f>'7a'!P46</f>
        <v>0</v>
      </c>
      <c r="F21" s="46">
        <f>'7a'!M46</f>
        <v>0</v>
      </c>
      <c r="G21" s="58">
        <f>'7a'!N46</f>
        <v>0</v>
      </c>
      <c r="H21" s="58">
        <f>'7a'!O46</f>
        <v>0</v>
      </c>
      <c r="I21" s="59">
        <f>'7a'!L46</f>
        <v>0</v>
      </c>
    </row>
    <row r="22" spans="1:9">
      <c r="A22" s="74">
        <f>IF(E22=0,0,IF(COUNTBLANK(E22)=1,0,COUNTA($E$15:E22)))</f>
        <v>0</v>
      </c>
      <c r="B22" s="24">
        <f t="shared" si="0"/>
        <v>0</v>
      </c>
      <c r="C22" s="145" t="str">
        <f>'8a'!C2:I2</f>
        <v>Apkures sistēma</v>
      </c>
      <c r="D22" s="146"/>
      <c r="E22" s="62">
        <f>'8a'!P58</f>
        <v>0</v>
      </c>
      <c r="F22" s="46">
        <f>'8a'!M58</f>
        <v>0</v>
      </c>
      <c r="G22" s="58">
        <f>'8a'!N58</f>
        <v>0</v>
      </c>
      <c r="H22" s="58">
        <f>'8a'!O58</f>
        <v>0</v>
      </c>
      <c r="I22" s="59">
        <f>'8a'!L58</f>
        <v>0</v>
      </c>
    </row>
    <row r="23" spans="1:9" ht="10.8" thickBot="1">
      <c r="A23" s="75">
        <f>IF(E23=0,0,IF(COUNTBLANK(E23)=1,0,COUNTA($E$15:E23)))</f>
        <v>0</v>
      </c>
      <c r="B23" s="25">
        <f t="shared" si="0"/>
        <v>0</v>
      </c>
      <c r="C23" s="147" t="str">
        <f>'9a'!C2:I2</f>
        <v>Ūdensapgāde</v>
      </c>
      <c r="D23" s="148"/>
      <c r="E23" s="62">
        <f>'9a'!P59</f>
        <v>0</v>
      </c>
      <c r="F23" s="46">
        <f>'9a'!M59</f>
        <v>0</v>
      </c>
      <c r="G23" s="58">
        <f>'9a'!N59</f>
        <v>0</v>
      </c>
      <c r="H23" s="58">
        <f>'9a'!O59</f>
        <v>0</v>
      </c>
      <c r="I23" s="59">
        <f>'9a'!L59</f>
        <v>0</v>
      </c>
    </row>
    <row r="24" spans="1:9" ht="10.8" thickBot="1">
      <c r="A24" s="131" t="s">
        <v>32</v>
      </c>
      <c r="B24" s="132"/>
      <c r="C24" s="132"/>
      <c r="D24" s="132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>
      <c r="A25" s="133" t="s">
        <v>33</v>
      </c>
      <c r="B25" s="134"/>
      <c r="C25" s="135"/>
      <c r="D25" s="71"/>
      <c r="E25" s="42">
        <f>ROUND(E24*$D25,2)</f>
        <v>0</v>
      </c>
      <c r="F25" s="43"/>
      <c r="G25" s="43"/>
      <c r="H25" s="43"/>
      <c r="I25" s="43"/>
    </row>
    <row r="26" spans="1:9">
      <c r="A26" s="136" t="s">
        <v>34</v>
      </c>
      <c r="B26" s="137"/>
      <c r="C26" s="138"/>
      <c r="D26" s="72"/>
      <c r="E26" s="44">
        <f>ROUND(E25*$D26,2)</f>
        <v>0</v>
      </c>
      <c r="F26" s="43"/>
      <c r="G26" s="43"/>
      <c r="H26" s="43"/>
      <c r="I26" s="43"/>
    </row>
    <row r="27" spans="1:9">
      <c r="A27" s="139" t="s">
        <v>35</v>
      </c>
      <c r="B27" s="140"/>
      <c r="C27" s="141"/>
      <c r="D27" s="73"/>
      <c r="E27" s="44">
        <f>ROUND(E24*$D27,2)</f>
        <v>0</v>
      </c>
      <c r="F27" s="43"/>
      <c r="G27" s="43"/>
      <c r="H27" s="43"/>
      <c r="I27" s="43"/>
    </row>
    <row r="28" spans="1:9" ht="10.8" thickBot="1">
      <c r="A28" s="142" t="s">
        <v>36</v>
      </c>
      <c r="B28" s="143"/>
      <c r="C28" s="144"/>
      <c r="D28" s="22"/>
      <c r="E28" s="45">
        <f>SUM(E24:E27)-E26</f>
        <v>0</v>
      </c>
      <c r="F28" s="43"/>
      <c r="G28" s="43"/>
      <c r="H28" s="43"/>
      <c r="I28" s="43"/>
    </row>
    <row r="29" spans="1:9">
      <c r="G29" s="21"/>
    </row>
    <row r="30" spans="1:9">
      <c r="C30" s="17"/>
      <c r="D30" s="17"/>
      <c r="E30" s="17"/>
      <c r="F30" s="23"/>
      <c r="G30" s="23"/>
      <c r="H30" s="23"/>
      <c r="I30" s="23"/>
    </row>
    <row r="33" spans="1:8">
      <c r="A33" s="1" t="s">
        <v>14</v>
      </c>
      <c r="B33" s="17"/>
      <c r="C33" s="130"/>
      <c r="D33" s="130"/>
      <c r="E33" s="130"/>
      <c r="F33" s="130"/>
      <c r="G33" s="130"/>
      <c r="H33" s="130"/>
    </row>
    <row r="34" spans="1:8">
      <c r="A34" s="17"/>
      <c r="B34" s="17"/>
      <c r="C34" s="125" t="s">
        <v>15</v>
      </c>
      <c r="D34" s="125"/>
      <c r="E34" s="125"/>
      <c r="F34" s="125"/>
      <c r="G34" s="125"/>
      <c r="H34" s="125"/>
    </row>
    <row r="35" spans="1:8">
      <c r="A35" s="17"/>
      <c r="B35" s="17"/>
      <c r="C35" s="17"/>
      <c r="D35" s="17"/>
      <c r="E35" s="17"/>
      <c r="F35" s="17"/>
      <c r="G35" s="17"/>
      <c r="H35" s="17"/>
    </row>
    <row r="36" spans="1:8">
      <c r="A36" s="87" t="str">
        <f>'Kopt a'!A36</f>
        <v>Tāme sastādīta</v>
      </c>
      <c r="B36" s="88"/>
      <c r="C36" s="88"/>
      <c r="D36" s="88"/>
      <c r="F36" s="17"/>
      <c r="G36" s="17"/>
      <c r="H36" s="17"/>
    </row>
    <row r="37" spans="1:8">
      <c r="A37" s="17"/>
      <c r="B37" s="17"/>
      <c r="C37" s="17"/>
      <c r="D37" s="17"/>
      <c r="E37" s="17"/>
      <c r="F37" s="17"/>
      <c r="G37" s="17"/>
      <c r="H37" s="17"/>
    </row>
    <row r="38" spans="1:8">
      <c r="A38" s="1" t="s">
        <v>37</v>
      </c>
      <c r="B38" s="17"/>
      <c r="C38" s="130"/>
      <c r="D38" s="130"/>
      <c r="E38" s="130"/>
      <c r="F38" s="130"/>
      <c r="G38" s="130"/>
      <c r="H38" s="130"/>
    </row>
    <row r="39" spans="1:8">
      <c r="A39" s="17"/>
      <c r="B39" s="17"/>
      <c r="C39" s="125" t="s">
        <v>15</v>
      </c>
      <c r="D39" s="125"/>
      <c r="E39" s="125"/>
      <c r="F39" s="125"/>
      <c r="G39" s="125"/>
      <c r="H39" s="125"/>
    </row>
    <row r="40" spans="1:8">
      <c r="A40" s="17"/>
      <c r="B40" s="17"/>
      <c r="C40" s="17"/>
      <c r="D40" s="17"/>
      <c r="E40" s="17"/>
      <c r="F40" s="17"/>
      <c r="G40" s="17"/>
      <c r="H40" s="17"/>
    </row>
    <row r="41" spans="1:8">
      <c r="A41" s="87" t="s">
        <v>53</v>
      </c>
      <c r="B41" s="88"/>
      <c r="C41" s="93"/>
      <c r="D41" s="88"/>
      <c r="F41" s="17"/>
      <c r="G41" s="17"/>
      <c r="H41" s="17"/>
    </row>
    <row r="51" spans="5:9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242" priority="19" operator="equal">
      <formula>0</formula>
    </cfRule>
  </conditionalFormatting>
  <conditionalFormatting sqref="D10:E11">
    <cfRule type="cellIs" dxfId="241" priority="18" operator="equal">
      <formula>0</formula>
    </cfRule>
  </conditionalFormatting>
  <conditionalFormatting sqref="E15 C15:D23 E25:E28 I15:I23">
    <cfRule type="cellIs" dxfId="240" priority="16" operator="equal">
      <formula>0</formula>
    </cfRule>
  </conditionalFormatting>
  <conditionalFormatting sqref="D25:D27">
    <cfRule type="cellIs" dxfId="239" priority="14" operator="equal">
      <formula>0</formula>
    </cfRule>
  </conditionalFormatting>
  <conditionalFormatting sqref="C38:H38">
    <cfRule type="cellIs" dxfId="238" priority="11" operator="equal">
      <formula>0</formula>
    </cfRule>
  </conditionalFormatting>
  <conditionalFormatting sqref="C33:H33">
    <cfRule type="cellIs" dxfId="237" priority="10" operator="equal">
      <formula>0</formula>
    </cfRule>
  </conditionalFormatting>
  <conditionalFormatting sqref="E15:E23">
    <cfRule type="cellIs" dxfId="236" priority="8" operator="equal">
      <formula>0</formula>
    </cfRule>
  </conditionalFormatting>
  <conditionalFormatting sqref="F15:I23">
    <cfRule type="cellIs" dxfId="235" priority="7" operator="equal">
      <formula>0</formula>
    </cfRule>
  </conditionalFormatting>
  <conditionalFormatting sqref="D6:I9">
    <cfRule type="cellIs" dxfId="234" priority="6" operator="equal">
      <formula>0</formula>
    </cfRule>
  </conditionalFormatting>
  <conditionalFormatting sqref="C41">
    <cfRule type="cellIs" dxfId="233" priority="4" operator="equal">
      <formula>0</formula>
    </cfRule>
  </conditionalFormatting>
  <conditionalFormatting sqref="B15:B23">
    <cfRule type="cellIs" dxfId="232" priority="3" operator="equal">
      <formula>0</formula>
    </cfRule>
  </conditionalFormatting>
  <conditionalFormatting sqref="A15:A23">
    <cfRule type="cellIs" dxfId="231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pageSetUpPr fitToPage="1"/>
  </sheetPr>
  <dimension ref="A1:P40"/>
  <sheetViews>
    <sheetView tabSelected="1" topLeftCell="A16" workbookViewId="0">
      <selection activeCell="C46" sqref="C46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>
      <c r="A2" s="29"/>
      <c r="B2" s="29"/>
      <c r="C2" s="180" t="s">
        <v>332</v>
      </c>
      <c r="D2" s="180"/>
      <c r="E2" s="180"/>
      <c r="F2" s="180"/>
      <c r="G2" s="180"/>
      <c r="H2" s="180"/>
      <c r="I2" s="180"/>
      <c r="J2" s="29"/>
    </row>
    <row r="3" spans="1:16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6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6" ht="11.25" customHeight="1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6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6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6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6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P28</f>
        <v>0</v>
      </c>
      <c r="O9" s="192"/>
      <c r="P9" s="31"/>
    </row>
    <row r="10" spans="1:16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A34</f>
        <v>Tāme sastādīta</v>
      </c>
    </row>
    <row r="11" spans="1:16" ht="10.8" thickBot="1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>
      <c r="A12" s="149" t="s">
        <v>23</v>
      </c>
      <c r="B12" s="187" t="s">
        <v>40</v>
      </c>
      <c r="C12" s="183" t="s">
        <v>41</v>
      </c>
      <c r="D12" s="190" t="s">
        <v>42</v>
      </c>
      <c r="E12" s="173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6" ht="126.75" customHeight="1" thickBot="1">
      <c r="A13" s="186"/>
      <c r="B13" s="188"/>
      <c r="C13" s="189"/>
      <c r="D13" s="191"/>
      <c r="E13" s="17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>
      <c r="A14" s="38"/>
      <c r="B14" s="39"/>
      <c r="C14" s="94" t="s">
        <v>55</v>
      </c>
      <c r="D14" s="24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>
      <c r="A15" s="38">
        <v>1</v>
      </c>
      <c r="B15" s="39" t="s">
        <v>140</v>
      </c>
      <c r="C15" s="47" t="s">
        <v>56</v>
      </c>
      <c r="D15" s="24" t="s">
        <v>57</v>
      </c>
      <c r="E15" s="106">
        <v>255.5</v>
      </c>
      <c r="F15" s="67"/>
      <c r="G15" s="64"/>
      <c r="H15" s="64">
        <f>ROUND(G15*F15,2)</f>
        <v>0</v>
      </c>
      <c r="I15" s="64"/>
      <c r="J15" s="64"/>
      <c r="K15" s="65">
        <f t="shared" ref="K15:K27" si="0">SUM(H15:J15)</f>
        <v>0</v>
      </c>
      <c r="L15" s="50">
        <f t="shared" ref="L15:L27" si="1">ROUND(E15*F15,2)</f>
        <v>0</v>
      </c>
      <c r="M15" s="48">
        <f t="shared" ref="M15:M27" si="2">ROUND(H15*E15,2)</f>
        <v>0</v>
      </c>
      <c r="N15" s="48">
        <f t="shared" ref="N15:N27" si="3">ROUND(I15*E15,2)</f>
        <v>0</v>
      </c>
      <c r="O15" s="48">
        <f t="shared" ref="O15:O27" si="4">ROUND(J15*E15,2)</f>
        <v>0</v>
      </c>
      <c r="P15" s="49">
        <f t="shared" ref="P15:P27" si="5">SUM(M15:O15)</f>
        <v>0</v>
      </c>
    </row>
    <row r="16" spans="1:16">
      <c r="A16" s="38"/>
      <c r="B16" s="39"/>
      <c r="C16" s="95" t="s">
        <v>58</v>
      </c>
      <c r="D16" s="24" t="s">
        <v>59</v>
      </c>
      <c r="E16" s="106">
        <v>6</v>
      </c>
      <c r="F16" s="67"/>
      <c r="G16" s="64"/>
      <c r="H16" s="64"/>
      <c r="I16" s="64"/>
      <c r="J16" s="64"/>
      <c r="K16" s="65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0.399999999999999">
      <c r="A17" s="38">
        <v>2</v>
      </c>
      <c r="B17" s="39" t="s">
        <v>140</v>
      </c>
      <c r="C17" s="47" t="s">
        <v>60</v>
      </c>
      <c r="D17" s="24" t="s">
        <v>61</v>
      </c>
      <c r="E17" s="106">
        <v>4</v>
      </c>
      <c r="F17" s="67"/>
      <c r="G17" s="64"/>
      <c r="H17" s="64">
        <f>ROUND(G17*F17,2)</f>
        <v>0</v>
      </c>
      <c r="I17" s="64"/>
      <c r="J17" s="64"/>
      <c r="K17" s="65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>
      <c r="A18" s="38"/>
      <c r="B18" s="39"/>
      <c r="C18" s="95" t="s">
        <v>62</v>
      </c>
      <c r="D18" s="24" t="s">
        <v>59</v>
      </c>
      <c r="E18" s="106">
        <v>6</v>
      </c>
      <c r="F18" s="67"/>
      <c r="G18" s="64"/>
      <c r="H18" s="64"/>
      <c r="I18" s="64"/>
      <c r="J18" s="64"/>
      <c r="K18" s="65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>
      <c r="A19" s="38"/>
      <c r="B19" s="39"/>
      <c r="C19" s="95" t="s">
        <v>63</v>
      </c>
      <c r="D19" s="24" t="s">
        <v>59</v>
      </c>
      <c r="E19" s="106">
        <v>6</v>
      </c>
      <c r="F19" s="67"/>
      <c r="G19" s="64"/>
      <c r="H19" s="64"/>
      <c r="I19" s="64"/>
      <c r="J19" s="64"/>
      <c r="K19" s="65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>
      <c r="A20" s="38"/>
      <c r="B20" s="39"/>
      <c r="C20" s="95" t="s">
        <v>64</v>
      </c>
      <c r="D20" s="24" t="s">
        <v>59</v>
      </c>
      <c r="E20" s="106">
        <v>6</v>
      </c>
      <c r="F20" s="67"/>
      <c r="G20" s="64"/>
      <c r="H20" s="64"/>
      <c r="I20" s="64"/>
      <c r="J20" s="64"/>
      <c r="K20" s="65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>
      <c r="A21" s="38"/>
      <c r="B21" s="39"/>
      <c r="C21" s="95" t="s">
        <v>65</v>
      </c>
      <c r="D21" s="24" t="s">
        <v>59</v>
      </c>
      <c r="E21" s="106">
        <v>6</v>
      </c>
      <c r="F21" s="67"/>
      <c r="G21" s="64"/>
      <c r="H21" s="64"/>
      <c r="I21" s="64"/>
      <c r="J21" s="64"/>
      <c r="K21" s="65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0.399999999999999">
      <c r="A22" s="38">
        <v>3</v>
      </c>
      <c r="B22" s="39" t="s">
        <v>140</v>
      </c>
      <c r="C22" s="47" t="s">
        <v>66</v>
      </c>
      <c r="D22" s="24" t="s">
        <v>67</v>
      </c>
      <c r="E22" s="106">
        <v>6</v>
      </c>
      <c r="F22" s="67"/>
      <c r="G22" s="64"/>
      <c r="H22" s="64">
        <f>ROUND(G22*F22,2)</f>
        <v>0</v>
      </c>
      <c r="I22" s="64"/>
      <c r="J22" s="64"/>
      <c r="K22" s="65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0.399999999999999">
      <c r="A23" s="38">
        <v>4</v>
      </c>
      <c r="B23" s="39" t="s">
        <v>140</v>
      </c>
      <c r="C23" s="47" t="s">
        <v>68</v>
      </c>
      <c r="D23" s="24" t="s">
        <v>59</v>
      </c>
      <c r="E23" s="106">
        <v>6</v>
      </c>
      <c r="F23" s="67"/>
      <c r="G23" s="64"/>
      <c r="H23" s="64"/>
      <c r="I23" s="64"/>
      <c r="J23" s="64"/>
      <c r="K23" s="65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0.399999999999999">
      <c r="A24" s="38">
        <v>5</v>
      </c>
      <c r="B24" s="39" t="s">
        <v>140</v>
      </c>
      <c r="C24" s="47" t="s">
        <v>69</v>
      </c>
      <c r="D24" s="24" t="s">
        <v>61</v>
      </c>
      <c r="E24" s="106">
        <v>1</v>
      </c>
      <c r="F24" s="67"/>
      <c r="G24" s="64"/>
      <c r="H24" s="64">
        <f>ROUND(G24*F24,2)</f>
        <v>0</v>
      </c>
      <c r="I24" s="64"/>
      <c r="J24" s="64"/>
      <c r="K24" s="65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>
      <c r="A25" s="38">
        <v>6</v>
      </c>
      <c r="B25" s="39" t="s">
        <v>140</v>
      </c>
      <c r="C25" s="47" t="s">
        <v>70</v>
      </c>
      <c r="D25" s="24" t="s">
        <v>71</v>
      </c>
      <c r="E25" s="106">
        <v>1</v>
      </c>
      <c r="F25" s="67"/>
      <c r="G25" s="64"/>
      <c r="H25" s="64">
        <f>ROUND(G25*F25,2)</f>
        <v>0</v>
      </c>
      <c r="I25" s="64"/>
      <c r="J25" s="64"/>
      <c r="K25" s="65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0.399999999999999">
      <c r="A26" s="38">
        <v>7</v>
      </c>
      <c r="B26" s="39" t="s">
        <v>140</v>
      </c>
      <c r="C26" s="47" t="s">
        <v>72</v>
      </c>
      <c r="D26" s="24" t="s">
        <v>73</v>
      </c>
      <c r="E26" s="106">
        <v>1</v>
      </c>
      <c r="F26" s="67"/>
      <c r="G26" s="64"/>
      <c r="H26" s="64">
        <f>ROUND(G26*F26,2)</f>
        <v>0</v>
      </c>
      <c r="I26" s="64"/>
      <c r="J26" s="64"/>
      <c r="K26" s="65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1" thickBot="1">
      <c r="A27" s="38">
        <v>8</v>
      </c>
      <c r="B27" s="39" t="s">
        <v>140</v>
      </c>
      <c r="C27" s="47" t="s">
        <v>74</v>
      </c>
      <c r="D27" s="24" t="s">
        <v>75</v>
      </c>
      <c r="E27" s="106">
        <v>5</v>
      </c>
      <c r="F27" s="67"/>
      <c r="G27" s="64"/>
      <c r="H27" s="64">
        <f>ROUND(G27*F27,2)</f>
        <v>0</v>
      </c>
      <c r="I27" s="64"/>
      <c r="J27" s="64"/>
      <c r="K27" s="65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10.8" thickBot="1">
      <c r="A28" s="176" t="s">
        <v>76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8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" t="s">
        <v>14</v>
      </c>
      <c r="B31" s="17"/>
      <c r="C31" s="175">
        <f>'Kops a'!C33:H33</f>
        <v>0</v>
      </c>
      <c r="D31" s="175"/>
      <c r="E31" s="175"/>
      <c r="F31" s="175"/>
      <c r="G31" s="175"/>
      <c r="H31" s="175"/>
      <c r="I31" s="17"/>
      <c r="J31" s="17"/>
      <c r="K31" s="17"/>
      <c r="L31" s="17"/>
      <c r="M31" s="17"/>
      <c r="N31" s="17"/>
      <c r="O31" s="17"/>
      <c r="P31" s="17"/>
    </row>
    <row r="32" spans="1:16">
      <c r="A32" s="17"/>
      <c r="B32" s="17"/>
      <c r="C32" s="125" t="s">
        <v>15</v>
      </c>
      <c r="D32" s="125"/>
      <c r="E32" s="125"/>
      <c r="F32" s="125"/>
      <c r="G32" s="125"/>
      <c r="H32" s="125"/>
      <c r="I32" s="17"/>
      <c r="J32" s="17"/>
      <c r="K32" s="17"/>
      <c r="L32" s="17"/>
      <c r="M32" s="17"/>
      <c r="N32" s="17"/>
      <c r="O32" s="17"/>
      <c r="P32" s="17"/>
    </row>
    <row r="33" spans="1:1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>
      <c r="A34" s="87" t="str">
        <f>'Kops a'!A36</f>
        <v>Tāme sastādīta</v>
      </c>
      <c r="B34" s="88"/>
      <c r="C34" s="88"/>
      <c r="D34" s="8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>
      <c r="A36" s="1" t="s">
        <v>37</v>
      </c>
      <c r="B36" s="17"/>
      <c r="C36" s="175">
        <f>'Kops a'!C38:H38</f>
        <v>0</v>
      </c>
      <c r="D36" s="175"/>
      <c r="E36" s="175"/>
      <c r="F36" s="175"/>
      <c r="G36" s="175"/>
      <c r="H36" s="175"/>
      <c r="I36" s="17"/>
      <c r="J36" s="17"/>
      <c r="K36" s="17"/>
      <c r="L36" s="17"/>
      <c r="M36" s="17"/>
      <c r="N36" s="17"/>
      <c r="O36" s="17"/>
      <c r="P36" s="17"/>
    </row>
    <row r="37" spans="1:16">
      <c r="A37" s="17"/>
      <c r="B37" s="17"/>
      <c r="C37" s="125" t="s">
        <v>15</v>
      </c>
      <c r="D37" s="125"/>
      <c r="E37" s="125"/>
      <c r="F37" s="125"/>
      <c r="G37" s="125"/>
      <c r="H37" s="125"/>
      <c r="I37" s="17"/>
      <c r="J37" s="17"/>
      <c r="K37" s="17"/>
      <c r="L37" s="17"/>
      <c r="M37" s="17"/>
      <c r="N37" s="17"/>
      <c r="O37" s="17"/>
      <c r="P37" s="17"/>
    </row>
    <row r="38" spans="1:1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>
      <c r="A39" s="87" t="s">
        <v>54</v>
      </c>
      <c r="B39" s="88"/>
      <c r="C39" s="92">
        <f>'Kops a'!C41</f>
        <v>0</v>
      </c>
      <c r="D39" s="5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6:H36"/>
    <mergeCell ref="C37:H37"/>
    <mergeCell ref="C31:H31"/>
    <mergeCell ref="C32:H32"/>
    <mergeCell ref="A28:K28"/>
  </mergeCells>
  <conditionalFormatting sqref="I14:J14 A14:G14 A15:E27">
    <cfRule type="cellIs" dxfId="228" priority="24" operator="equal">
      <formula>0</formula>
    </cfRule>
  </conditionalFormatting>
  <conditionalFormatting sqref="N9:O9 L15:P27">
    <cfRule type="cellIs" dxfId="227" priority="22" operator="equal">
      <formula>0</formula>
    </cfRule>
  </conditionalFormatting>
  <conditionalFormatting sqref="A9">
    <cfRule type="containsText" dxfId="226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25" priority="19" operator="equal">
      <formula>0</formula>
    </cfRule>
  </conditionalFormatting>
  <conditionalFormatting sqref="O10:P10">
    <cfRule type="cellIs" dxfId="224" priority="18" operator="equal">
      <formula>"20__. gada __. _________"</formula>
    </cfRule>
  </conditionalFormatting>
  <conditionalFormatting sqref="A28:K28">
    <cfRule type="containsText" dxfId="223" priority="16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36:H36">
    <cfRule type="cellIs" dxfId="222" priority="13" operator="equal">
      <formula>0</formula>
    </cfRule>
  </conditionalFormatting>
  <conditionalFormatting sqref="C31:H31">
    <cfRule type="cellIs" dxfId="221" priority="12" operator="equal">
      <formula>0</formula>
    </cfRule>
  </conditionalFormatting>
  <conditionalFormatting sqref="H14 K14:P14 L28:P28">
    <cfRule type="cellIs" dxfId="220" priority="11" operator="equal">
      <formula>0</formula>
    </cfRule>
  </conditionalFormatting>
  <conditionalFormatting sqref="C4:I4">
    <cfRule type="cellIs" dxfId="219" priority="10" operator="equal">
      <formula>0</formula>
    </cfRule>
  </conditionalFormatting>
  <conditionalFormatting sqref="D5:L8">
    <cfRule type="cellIs" dxfId="218" priority="8" operator="equal">
      <formula>0</formula>
    </cfRule>
  </conditionalFormatting>
  <conditionalFormatting sqref="C36:H36 C39 C31:H31">
    <cfRule type="cellIs" dxfId="217" priority="7" operator="equal">
      <formula>0</formula>
    </cfRule>
  </conditionalFormatting>
  <conditionalFormatting sqref="D1">
    <cfRule type="cellIs" dxfId="216" priority="6" operator="equal">
      <formula>0</formula>
    </cfRule>
  </conditionalFormatting>
  <conditionalFormatting sqref="I15:J27 F15:G27">
    <cfRule type="cellIs" dxfId="215" priority="2" operator="equal">
      <formula>0</formula>
    </cfRule>
  </conditionalFormatting>
  <conditionalFormatting sqref="H15:H27 K15:K27">
    <cfRule type="cellIs" dxfId="214" priority="1" operator="equal">
      <formula>0</formula>
    </cfRule>
  </conditionalFormatting>
  <pageMargins left="0.7" right="0.7" top="0.75" bottom="0.75" header="0.3" footer="0.3"/>
  <pageSetup paperSize="9" scale="8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U73"/>
  <sheetViews>
    <sheetView topLeftCell="A46" workbookViewId="0">
      <selection activeCell="C72" sqref="C72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3.44140625" style="1" customWidth="1"/>
    <col min="4" max="4" width="5.77734375" style="1" customWidth="1"/>
    <col min="5" max="5" width="7" style="114" customWidth="1"/>
    <col min="6" max="6" width="5.44140625" style="1" customWidth="1"/>
    <col min="7" max="7" width="4.77734375" style="1" customWidth="1"/>
    <col min="8" max="8" width="6.6640625" style="1" customWidth="1"/>
    <col min="9" max="9" width="5.33203125" style="1" customWidth="1"/>
    <col min="10" max="10" width="5" style="1" customWidth="1"/>
    <col min="11" max="11" width="7" style="1" customWidth="1"/>
    <col min="12" max="12" width="6.6640625" style="1" customWidth="1"/>
    <col min="13" max="13" width="6.33203125" style="1" customWidth="1"/>
    <col min="14" max="14" width="6.109375" style="1" customWidth="1"/>
    <col min="15" max="15" width="6" style="1" customWidth="1"/>
    <col min="16" max="16" width="7.33203125" style="1" customWidth="1"/>
    <col min="17" max="17" width="14.109375" style="1" customWidth="1"/>
    <col min="18" max="16384" width="9.109375" style="1"/>
  </cols>
  <sheetData>
    <row r="1" spans="1:21">
      <c r="A1" s="23"/>
      <c r="B1" s="23"/>
      <c r="C1" s="27" t="s">
        <v>38</v>
      </c>
      <c r="D1" s="52">
        <f>'Kops a'!A16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21">
      <c r="A2" s="29"/>
      <c r="B2" s="29"/>
      <c r="C2" s="180" t="s">
        <v>333</v>
      </c>
      <c r="D2" s="180"/>
      <c r="E2" s="180"/>
      <c r="F2" s="180"/>
      <c r="G2" s="180"/>
      <c r="H2" s="180"/>
      <c r="I2" s="180"/>
      <c r="J2" s="29"/>
    </row>
    <row r="3" spans="1:21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21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21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21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21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21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21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P61</f>
        <v>0</v>
      </c>
      <c r="O9" s="192"/>
      <c r="P9" s="31"/>
    </row>
    <row r="10" spans="1:21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A67</f>
        <v>Tāme sastādīta</v>
      </c>
    </row>
    <row r="11" spans="1:21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1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21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21" ht="20.399999999999999">
      <c r="A14" s="38" t="s">
        <v>78</v>
      </c>
      <c r="B14" s="39" t="s">
        <v>79</v>
      </c>
      <c r="C14" s="104" t="s">
        <v>80</v>
      </c>
      <c r="D14" s="24" t="s">
        <v>81</v>
      </c>
      <c r="E14" s="109">
        <v>1300</v>
      </c>
      <c r="F14" s="67"/>
      <c r="G14" s="64"/>
      <c r="H14" s="48">
        <f t="shared" ref="H14:H15" si="0">ROUND(G14*F14,2)</f>
        <v>0</v>
      </c>
      <c r="I14" s="64"/>
      <c r="J14" s="64">
        <f t="shared" ref="J14:J15" si="1">ROUND(H14*6%,2)</f>
        <v>0</v>
      </c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21" ht="20.399999999999999">
      <c r="A15" s="38" t="s">
        <v>82</v>
      </c>
      <c r="B15" s="39" t="s">
        <v>83</v>
      </c>
      <c r="C15" s="104" t="s">
        <v>84</v>
      </c>
      <c r="D15" s="24" t="s">
        <v>81</v>
      </c>
      <c r="E15" s="109">
        <v>1300</v>
      </c>
      <c r="F15" s="67"/>
      <c r="G15" s="64"/>
      <c r="H15" s="48">
        <f t="shared" si="0"/>
        <v>0</v>
      </c>
      <c r="I15" s="64"/>
      <c r="J15" s="64">
        <f t="shared" si="1"/>
        <v>0</v>
      </c>
      <c r="K15" s="49">
        <f t="shared" ref="K15:K60" si="2">SUM(H15:J15)</f>
        <v>0</v>
      </c>
      <c r="L15" s="50">
        <f t="shared" ref="L15:L60" si="3">ROUND(E15*F15,2)</f>
        <v>0</v>
      </c>
      <c r="M15" s="48">
        <f t="shared" ref="M15:M60" si="4">ROUND(H15*E15,2)</f>
        <v>0</v>
      </c>
      <c r="N15" s="48">
        <f t="shared" ref="N15:N60" si="5">ROUND(I15*E15,2)</f>
        <v>0</v>
      </c>
      <c r="O15" s="48">
        <f t="shared" ref="O15:O60" si="6">ROUND(J15*E15,2)</f>
        <v>0</v>
      </c>
      <c r="P15" s="49">
        <f t="shared" ref="P15:P60" si="7">SUM(M15:O15)</f>
        <v>0</v>
      </c>
      <c r="S15" s="108"/>
      <c r="T15" s="108"/>
      <c r="U15" s="108"/>
    </row>
    <row r="16" spans="1:21" ht="30.6">
      <c r="A16" s="38"/>
      <c r="B16" s="39"/>
      <c r="C16" s="103" t="s">
        <v>135</v>
      </c>
      <c r="D16" s="24" t="s">
        <v>81</v>
      </c>
      <c r="E16" s="109">
        <f>SUM(E15)*1.05</f>
        <v>1365</v>
      </c>
      <c r="F16" s="67"/>
      <c r="G16" s="64"/>
      <c r="H16" s="48">
        <f t="shared" ref="H16:H60" si="8">ROUND(F16*G16,2)</f>
        <v>0</v>
      </c>
      <c r="I16" s="64"/>
      <c r="J16" s="64"/>
      <c r="K16" s="49">
        <f t="shared" si="2"/>
        <v>0</v>
      </c>
      <c r="L16" s="50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9">
        <f t="shared" si="7"/>
        <v>0</v>
      </c>
      <c r="S16" s="108"/>
      <c r="T16" s="108"/>
      <c r="U16" s="108"/>
    </row>
    <row r="17" spans="1:21" ht="30.6">
      <c r="A17" s="38"/>
      <c r="B17" s="39"/>
      <c r="C17" s="103" t="s">
        <v>343</v>
      </c>
      <c r="D17" s="122" t="s">
        <v>81</v>
      </c>
      <c r="E17" s="109">
        <f>SUM(E15)*1.05</f>
        <v>1365</v>
      </c>
      <c r="F17" s="67"/>
      <c r="G17" s="64"/>
      <c r="H17" s="48">
        <f t="shared" si="8"/>
        <v>0</v>
      </c>
      <c r="I17" s="64"/>
      <c r="J17" s="64"/>
      <c r="K17" s="49">
        <f t="shared" si="2"/>
        <v>0</v>
      </c>
      <c r="L17" s="50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9">
        <f t="shared" si="7"/>
        <v>0</v>
      </c>
      <c r="T17" s="108"/>
      <c r="U17" s="108"/>
    </row>
    <row r="18" spans="1:21" ht="30.6">
      <c r="A18" s="38"/>
      <c r="B18" s="39"/>
      <c r="C18" s="103" t="s">
        <v>344</v>
      </c>
      <c r="D18" s="24" t="s">
        <v>81</v>
      </c>
      <c r="E18" s="109">
        <f>SUM(E15)*1.05</f>
        <v>1365</v>
      </c>
      <c r="F18" s="67"/>
      <c r="G18" s="64"/>
      <c r="H18" s="48">
        <f t="shared" si="8"/>
        <v>0</v>
      </c>
      <c r="I18" s="64"/>
      <c r="J18" s="64"/>
      <c r="K18" s="49">
        <f t="shared" si="2"/>
        <v>0</v>
      </c>
      <c r="L18" s="50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9">
        <f t="shared" si="7"/>
        <v>0</v>
      </c>
      <c r="T18" s="108"/>
      <c r="U18" s="108"/>
    </row>
    <row r="19" spans="1:21">
      <c r="A19" s="38"/>
      <c r="B19" s="39"/>
      <c r="C19" s="103" t="s">
        <v>86</v>
      </c>
      <c r="D19" s="24" t="s">
        <v>87</v>
      </c>
      <c r="E19" s="110">
        <f>SUM(E15)*5</f>
        <v>6500</v>
      </c>
      <c r="F19" s="67"/>
      <c r="G19" s="64"/>
      <c r="H19" s="48">
        <f t="shared" si="8"/>
        <v>0</v>
      </c>
      <c r="I19" s="64"/>
      <c r="J19" s="64"/>
      <c r="K19" s="49">
        <f t="shared" si="2"/>
        <v>0</v>
      </c>
      <c r="L19" s="50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9">
        <f t="shared" si="7"/>
        <v>0</v>
      </c>
    </row>
    <row r="20" spans="1:21" ht="20.399999999999999">
      <c r="A20" s="38" t="s">
        <v>88</v>
      </c>
      <c r="B20" s="39" t="s">
        <v>89</v>
      </c>
      <c r="C20" s="104" t="s">
        <v>276</v>
      </c>
      <c r="D20" s="24" t="s">
        <v>81</v>
      </c>
      <c r="E20" s="109">
        <v>1300</v>
      </c>
      <c r="F20" s="67"/>
      <c r="G20" s="64"/>
      <c r="H20" s="48">
        <f t="shared" ref="H20" si="9">ROUND(G20*F20,2)</f>
        <v>0</v>
      </c>
      <c r="I20" s="64"/>
      <c r="J20" s="64">
        <f t="shared" ref="J20" si="10">ROUND(H20*6%,2)</f>
        <v>0</v>
      </c>
      <c r="K20" s="49">
        <f t="shared" si="2"/>
        <v>0</v>
      </c>
      <c r="L20" s="50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9">
        <f t="shared" si="7"/>
        <v>0</v>
      </c>
    </row>
    <row r="21" spans="1:21" ht="30.6">
      <c r="A21" s="38"/>
      <c r="B21" s="39"/>
      <c r="C21" s="103" t="s">
        <v>90</v>
      </c>
      <c r="D21" s="24" t="s">
        <v>81</v>
      </c>
      <c r="E21" s="109">
        <f>SUM(E20)*1.15</f>
        <v>1495</v>
      </c>
      <c r="F21" s="67"/>
      <c r="G21" s="64"/>
      <c r="H21" s="48"/>
      <c r="I21" s="64"/>
      <c r="J21" s="64"/>
      <c r="K21" s="49">
        <f t="shared" si="2"/>
        <v>0</v>
      </c>
      <c r="L21" s="50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9">
        <f t="shared" si="7"/>
        <v>0</v>
      </c>
    </row>
    <row r="22" spans="1:21" ht="30.6">
      <c r="A22" s="38"/>
      <c r="B22" s="39"/>
      <c r="C22" s="103" t="s">
        <v>91</v>
      </c>
      <c r="D22" s="24" t="s">
        <v>81</v>
      </c>
      <c r="E22" s="109">
        <f>SUM(E20)*1.15</f>
        <v>1495</v>
      </c>
      <c r="F22" s="67"/>
      <c r="G22" s="64"/>
      <c r="H22" s="48"/>
      <c r="I22" s="64"/>
      <c r="J22" s="64"/>
      <c r="K22" s="49">
        <f t="shared" si="2"/>
        <v>0</v>
      </c>
      <c r="L22" s="50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9">
        <f t="shared" si="7"/>
        <v>0</v>
      </c>
    </row>
    <row r="23" spans="1:21">
      <c r="A23" s="38"/>
      <c r="B23" s="39"/>
      <c r="C23" s="103" t="s">
        <v>92</v>
      </c>
      <c r="D23" s="24" t="s">
        <v>81</v>
      </c>
      <c r="E23" s="109">
        <f>SUM(E20)</f>
        <v>1300</v>
      </c>
      <c r="F23" s="67"/>
      <c r="G23" s="64"/>
      <c r="H23" s="48"/>
      <c r="I23" s="64"/>
      <c r="J23" s="64"/>
      <c r="K23" s="49">
        <f t="shared" si="2"/>
        <v>0</v>
      </c>
      <c r="L23" s="50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9">
        <f t="shared" si="7"/>
        <v>0</v>
      </c>
    </row>
    <row r="24" spans="1:21">
      <c r="A24" s="38"/>
      <c r="B24" s="39"/>
      <c r="C24" s="103" t="s">
        <v>93</v>
      </c>
      <c r="D24" s="24" t="s">
        <v>81</v>
      </c>
      <c r="E24" s="109">
        <f>SUM(E20)</f>
        <v>1300</v>
      </c>
      <c r="F24" s="67"/>
      <c r="G24" s="64"/>
      <c r="H24" s="48"/>
      <c r="I24" s="64"/>
      <c r="J24" s="64"/>
      <c r="K24" s="49">
        <f t="shared" si="2"/>
        <v>0</v>
      </c>
      <c r="L24" s="50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9">
        <f t="shared" si="7"/>
        <v>0</v>
      </c>
    </row>
    <row r="25" spans="1:21" ht="20.399999999999999">
      <c r="A25" s="38" t="s">
        <v>94</v>
      </c>
      <c r="B25" s="39" t="s">
        <v>89</v>
      </c>
      <c r="C25" s="104" t="s">
        <v>95</v>
      </c>
      <c r="D25" s="24" t="s">
        <v>87</v>
      </c>
      <c r="E25" s="109">
        <v>13</v>
      </c>
      <c r="F25" s="67"/>
      <c r="G25" s="64"/>
      <c r="H25" s="48">
        <f t="shared" ref="H25:H26" si="11">ROUND(G25*F25,2)</f>
        <v>0</v>
      </c>
      <c r="I25" s="64"/>
      <c r="J25" s="64">
        <f t="shared" ref="J25:J26" si="12">ROUND(H25*6%,2)</f>
        <v>0</v>
      </c>
      <c r="K25" s="49">
        <f t="shared" si="2"/>
        <v>0</v>
      </c>
      <c r="L25" s="50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9">
        <f t="shared" si="7"/>
        <v>0</v>
      </c>
    </row>
    <row r="26" spans="1:21" ht="20.399999999999999">
      <c r="A26" s="38" t="s">
        <v>96</v>
      </c>
      <c r="B26" s="39" t="s">
        <v>89</v>
      </c>
      <c r="C26" s="104" t="s">
        <v>97</v>
      </c>
      <c r="D26" s="24" t="s">
        <v>87</v>
      </c>
      <c r="E26" s="109">
        <v>18</v>
      </c>
      <c r="F26" s="67"/>
      <c r="G26" s="64"/>
      <c r="H26" s="48">
        <f t="shared" si="11"/>
        <v>0</v>
      </c>
      <c r="I26" s="64"/>
      <c r="J26" s="64">
        <f t="shared" si="12"/>
        <v>0</v>
      </c>
      <c r="K26" s="49">
        <f t="shared" si="2"/>
        <v>0</v>
      </c>
      <c r="L26" s="50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9">
        <f t="shared" si="7"/>
        <v>0</v>
      </c>
    </row>
    <row r="27" spans="1:21" ht="20.399999999999999">
      <c r="A27" s="38" t="s">
        <v>98</v>
      </c>
      <c r="B27" s="39" t="s">
        <v>89</v>
      </c>
      <c r="C27" s="104" t="s">
        <v>99</v>
      </c>
      <c r="D27" s="24" t="s">
        <v>57</v>
      </c>
      <c r="E27" s="109">
        <v>250</v>
      </c>
      <c r="F27" s="67"/>
      <c r="G27" s="64"/>
      <c r="H27" s="48">
        <f>G27*F27</f>
        <v>0</v>
      </c>
      <c r="I27" s="64"/>
      <c r="J27" s="64">
        <f>ROUND(H27*6%,2)</f>
        <v>0</v>
      </c>
      <c r="K27" s="49">
        <f t="shared" si="2"/>
        <v>0</v>
      </c>
      <c r="L27" s="50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9">
        <f t="shared" si="7"/>
        <v>0</v>
      </c>
    </row>
    <row r="28" spans="1:21">
      <c r="A28" s="38"/>
      <c r="B28" s="39"/>
      <c r="C28" s="103" t="s">
        <v>100</v>
      </c>
      <c r="D28" s="24" t="s">
        <v>57</v>
      </c>
      <c r="E28" s="109">
        <v>250</v>
      </c>
      <c r="F28" s="67"/>
      <c r="G28" s="64"/>
      <c r="H28" s="48"/>
      <c r="I28" s="64"/>
      <c r="J28" s="64"/>
      <c r="K28" s="49">
        <f t="shared" si="2"/>
        <v>0</v>
      </c>
      <c r="L28" s="50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9">
        <f t="shared" si="7"/>
        <v>0</v>
      </c>
      <c r="Q28" s="108"/>
    </row>
    <row r="29" spans="1:21">
      <c r="A29" s="38"/>
      <c r="B29" s="39"/>
      <c r="C29" s="103" t="s">
        <v>328</v>
      </c>
      <c r="D29" s="24" t="s">
        <v>101</v>
      </c>
      <c r="E29" s="109">
        <v>1</v>
      </c>
      <c r="F29" s="67"/>
      <c r="G29" s="64"/>
      <c r="H29" s="48"/>
      <c r="I29" s="64"/>
      <c r="J29" s="64"/>
      <c r="K29" s="49">
        <f t="shared" si="2"/>
        <v>0</v>
      </c>
      <c r="L29" s="50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9">
        <f t="shared" si="7"/>
        <v>0</v>
      </c>
      <c r="Q29" s="108"/>
    </row>
    <row r="30" spans="1:21" ht="20.399999999999999">
      <c r="A30" s="38" t="s">
        <v>102</v>
      </c>
      <c r="B30" s="39" t="s">
        <v>89</v>
      </c>
      <c r="C30" s="104" t="s">
        <v>103</v>
      </c>
      <c r="D30" s="24" t="s">
        <v>61</v>
      </c>
      <c r="E30" s="109">
        <v>6</v>
      </c>
      <c r="F30" s="67"/>
      <c r="G30" s="64"/>
      <c r="H30" s="48">
        <f>G30*F30</f>
        <v>0</v>
      </c>
      <c r="I30" s="64"/>
      <c r="J30" s="64">
        <f>ROUND(H30*6%,2)</f>
        <v>0</v>
      </c>
      <c r="K30" s="49">
        <f t="shared" si="2"/>
        <v>0</v>
      </c>
      <c r="L30" s="50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9">
        <f t="shared" si="7"/>
        <v>0</v>
      </c>
      <c r="Q30" s="108"/>
    </row>
    <row r="31" spans="1:21" ht="11.4">
      <c r="A31" s="38"/>
      <c r="B31" s="39"/>
      <c r="C31" s="103" t="s">
        <v>104</v>
      </c>
      <c r="D31" s="24" t="s">
        <v>61</v>
      </c>
      <c r="E31" s="109">
        <v>6</v>
      </c>
      <c r="F31" s="67"/>
      <c r="G31" s="64"/>
      <c r="H31" s="48"/>
      <c r="I31" s="64"/>
      <c r="J31" s="64"/>
      <c r="K31" s="49">
        <f t="shared" si="2"/>
        <v>0</v>
      </c>
      <c r="L31" s="50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9">
        <f t="shared" si="7"/>
        <v>0</v>
      </c>
      <c r="Q31" s="118"/>
    </row>
    <row r="32" spans="1:21" ht="20.399999999999999">
      <c r="A32" s="38"/>
      <c r="B32" s="39"/>
      <c r="C32" s="96" t="s">
        <v>105</v>
      </c>
      <c r="D32" s="24"/>
      <c r="E32" s="106"/>
      <c r="F32" s="67"/>
      <c r="G32" s="64"/>
      <c r="H32" s="48">
        <f t="shared" si="8"/>
        <v>0</v>
      </c>
      <c r="I32" s="64"/>
      <c r="J32" s="64"/>
      <c r="K32" s="49">
        <f t="shared" si="2"/>
        <v>0</v>
      </c>
      <c r="L32" s="50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9">
        <f t="shared" si="7"/>
        <v>0</v>
      </c>
      <c r="Q32" s="118"/>
    </row>
    <row r="33" spans="1:17" ht="20.399999999999999">
      <c r="A33" s="38" t="s">
        <v>78</v>
      </c>
      <c r="B33" s="39" t="s">
        <v>79</v>
      </c>
      <c r="C33" s="104" t="s">
        <v>80</v>
      </c>
      <c r="D33" s="24" t="s">
        <v>81</v>
      </c>
      <c r="E33" s="109">
        <v>25</v>
      </c>
      <c r="F33" s="67"/>
      <c r="G33" s="64"/>
      <c r="H33" s="48">
        <f t="shared" ref="H33" si="13">ROUND(G33*F33,2)</f>
        <v>0</v>
      </c>
      <c r="I33" s="64"/>
      <c r="J33" s="64">
        <f t="shared" ref="J33" si="14">ROUND(H33*6%,2)</f>
        <v>0</v>
      </c>
      <c r="K33" s="49">
        <f t="shared" si="2"/>
        <v>0</v>
      </c>
      <c r="L33" s="50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9">
        <f t="shared" si="7"/>
        <v>0</v>
      </c>
      <c r="Q33" s="118"/>
    </row>
    <row r="34" spans="1:17" ht="20.399999999999999">
      <c r="A34" s="38" t="s">
        <v>82</v>
      </c>
      <c r="B34" s="39" t="s">
        <v>89</v>
      </c>
      <c r="C34" s="104" t="s">
        <v>106</v>
      </c>
      <c r="D34" s="24" t="s">
        <v>81</v>
      </c>
      <c r="E34" s="109">
        <v>25</v>
      </c>
      <c r="F34" s="67"/>
      <c r="G34" s="64"/>
      <c r="H34" s="48">
        <f>SUM(F34*G34)</f>
        <v>0</v>
      </c>
      <c r="I34" s="64"/>
      <c r="J34" s="64">
        <f>ROUND(H34*6%,2)</f>
        <v>0</v>
      </c>
      <c r="K34" s="49">
        <f t="shared" si="2"/>
        <v>0</v>
      </c>
      <c r="L34" s="50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9">
        <f t="shared" si="7"/>
        <v>0</v>
      </c>
      <c r="Q34" s="118"/>
    </row>
    <row r="35" spans="1:17" ht="11.4">
      <c r="A35" s="38"/>
      <c r="B35" s="39"/>
      <c r="C35" s="103" t="s">
        <v>329</v>
      </c>
      <c r="D35" s="24" t="s">
        <v>107</v>
      </c>
      <c r="E35" s="109">
        <f>E34*0.8</f>
        <v>20</v>
      </c>
      <c r="F35" s="67"/>
      <c r="G35" s="64"/>
      <c r="H35" s="48"/>
      <c r="I35" s="64"/>
      <c r="J35" s="64"/>
      <c r="K35" s="49">
        <f t="shared" si="2"/>
        <v>0</v>
      </c>
      <c r="L35" s="50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9">
        <f t="shared" si="7"/>
        <v>0</v>
      </c>
      <c r="Q35" s="118"/>
    </row>
    <row r="36" spans="1:17" ht="20.399999999999999">
      <c r="A36" s="38" t="s">
        <v>94</v>
      </c>
      <c r="B36" s="39" t="s">
        <v>89</v>
      </c>
      <c r="C36" s="104" t="s">
        <v>108</v>
      </c>
      <c r="D36" s="24" t="s">
        <v>81</v>
      </c>
      <c r="E36" s="109">
        <v>25</v>
      </c>
      <c r="F36" s="67"/>
      <c r="G36" s="64"/>
      <c r="H36" s="48">
        <f t="shared" ref="H36" si="15">ROUND(G36*F36,2)</f>
        <v>0</v>
      </c>
      <c r="I36" s="64"/>
      <c r="J36" s="64">
        <f t="shared" ref="J36" si="16">ROUND(H36*6%,2)</f>
        <v>0</v>
      </c>
      <c r="K36" s="49">
        <f t="shared" ref="K36" si="17">SUM(H36:J36)</f>
        <v>0</v>
      </c>
      <c r="L36" s="50">
        <f t="shared" si="3"/>
        <v>0</v>
      </c>
      <c r="M36" s="48">
        <f t="shared" si="4"/>
        <v>0</v>
      </c>
      <c r="N36" s="48">
        <f t="shared" si="5"/>
        <v>0</v>
      </c>
      <c r="O36" s="48">
        <f t="shared" si="6"/>
        <v>0</v>
      </c>
      <c r="P36" s="49">
        <f t="shared" si="7"/>
        <v>0</v>
      </c>
      <c r="Q36" s="118"/>
    </row>
    <row r="37" spans="1:17" ht="11.25" customHeight="1">
      <c r="A37" s="38"/>
      <c r="B37" s="39"/>
      <c r="C37" s="103" t="s">
        <v>109</v>
      </c>
      <c r="D37" s="24" t="s">
        <v>107</v>
      </c>
      <c r="E37" s="109">
        <f>E36*50</f>
        <v>1250</v>
      </c>
      <c r="F37" s="67"/>
      <c r="G37" s="64"/>
      <c r="H37" s="48">
        <f t="shared" si="8"/>
        <v>0</v>
      </c>
      <c r="I37" s="64"/>
      <c r="J37" s="64"/>
      <c r="K37" s="49">
        <f t="shared" si="2"/>
        <v>0</v>
      </c>
      <c r="L37" s="50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9">
        <f t="shared" si="7"/>
        <v>0</v>
      </c>
      <c r="Q37" s="108"/>
    </row>
    <row r="38" spans="1:17" ht="20.399999999999999">
      <c r="A38" s="38" t="s">
        <v>96</v>
      </c>
      <c r="B38" s="39" t="s">
        <v>89</v>
      </c>
      <c r="C38" s="104" t="s">
        <v>277</v>
      </c>
      <c r="D38" s="24" t="s">
        <v>81</v>
      </c>
      <c r="E38" s="109">
        <f>SUM(E36)</f>
        <v>25</v>
      </c>
      <c r="F38" s="67"/>
      <c r="G38" s="64"/>
      <c r="H38" s="48">
        <f t="shared" ref="H38" si="18">ROUND(G38*F38,2)</f>
        <v>0</v>
      </c>
      <c r="I38" s="64"/>
      <c r="J38" s="64">
        <f t="shared" ref="J38" si="19">ROUND(H38*6%,2)</f>
        <v>0</v>
      </c>
      <c r="K38" s="49">
        <f t="shared" ref="K38" si="20">SUM(H38:J38)</f>
        <v>0</v>
      </c>
      <c r="L38" s="50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9">
        <f t="shared" si="7"/>
        <v>0</v>
      </c>
      <c r="Q38" s="108"/>
    </row>
    <row r="39" spans="1:17" ht="11.25" customHeight="1">
      <c r="A39" s="38"/>
      <c r="B39" s="39"/>
      <c r="C39" s="103" t="s">
        <v>330</v>
      </c>
      <c r="D39" s="24" t="s">
        <v>81</v>
      </c>
      <c r="E39" s="109">
        <f>E38*1.1</f>
        <v>27.5</v>
      </c>
      <c r="F39" s="67"/>
      <c r="G39" s="64"/>
      <c r="H39" s="48">
        <f t="shared" si="8"/>
        <v>0</v>
      </c>
      <c r="I39" s="64"/>
      <c r="J39" s="64"/>
      <c r="K39" s="49">
        <f t="shared" si="2"/>
        <v>0</v>
      </c>
      <c r="L39" s="50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9">
        <f t="shared" si="7"/>
        <v>0</v>
      </c>
    </row>
    <row r="40" spans="1:17" ht="11.25" customHeight="1">
      <c r="A40" s="38"/>
      <c r="B40" s="39"/>
      <c r="C40" s="103" t="s">
        <v>331</v>
      </c>
      <c r="D40" s="24" t="s">
        <v>85</v>
      </c>
      <c r="E40" s="109">
        <f>5*2.86*6*0.1*0.038*1.15</f>
        <v>0.37</v>
      </c>
      <c r="F40" s="67"/>
      <c r="G40" s="64"/>
      <c r="H40" s="48">
        <f t="shared" si="8"/>
        <v>0</v>
      </c>
      <c r="I40" s="64"/>
      <c r="J40" s="64"/>
      <c r="K40" s="49">
        <f t="shared" si="2"/>
        <v>0</v>
      </c>
      <c r="L40" s="50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9">
        <f t="shared" si="7"/>
        <v>0</v>
      </c>
    </row>
    <row r="41" spans="1:17" ht="11.25" customHeight="1">
      <c r="A41" s="38"/>
      <c r="B41" s="39"/>
      <c r="C41" s="103" t="s">
        <v>110</v>
      </c>
      <c r="D41" s="24" t="s">
        <v>101</v>
      </c>
      <c r="E41" s="109">
        <v>1</v>
      </c>
      <c r="F41" s="67"/>
      <c r="G41" s="64"/>
      <c r="H41" s="48">
        <f t="shared" si="8"/>
        <v>0</v>
      </c>
      <c r="I41" s="64"/>
      <c r="J41" s="64"/>
      <c r="K41" s="49">
        <f t="shared" si="2"/>
        <v>0</v>
      </c>
      <c r="L41" s="50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9">
        <f t="shared" si="7"/>
        <v>0</v>
      </c>
    </row>
    <row r="42" spans="1:17" ht="20.399999999999999">
      <c r="A42" s="38" t="s">
        <v>98</v>
      </c>
      <c r="B42" s="39" t="s">
        <v>89</v>
      </c>
      <c r="C42" s="104" t="s">
        <v>111</v>
      </c>
      <c r="D42" s="24" t="s">
        <v>112</v>
      </c>
      <c r="E42" s="109">
        <v>20</v>
      </c>
      <c r="F42" s="67"/>
      <c r="G42" s="64"/>
      <c r="H42" s="48">
        <f>SUM(F42*G42)</f>
        <v>0</v>
      </c>
      <c r="I42" s="64"/>
      <c r="J42" s="64">
        <f>ROUND(H42*6%,2)</f>
        <v>0</v>
      </c>
      <c r="K42" s="49">
        <f t="shared" si="2"/>
        <v>0</v>
      </c>
      <c r="L42" s="50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9">
        <f t="shared" si="7"/>
        <v>0</v>
      </c>
    </row>
    <row r="43" spans="1:17" ht="20.399999999999999">
      <c r="A43" s="38" t="s">
        <v>102</v>
      </c>
      <c r="B43" s="39" t="s">
        <v>89</v>
      </c>
      <c r="C43" s="104" t="s">
        <v>278</v>
      </c>
      <c r="D43" s="24" t="s">
        <v>57</v>
      </c>
      <c r="E43" s="106">
        <v>22</v>
      </c>
      <c r="F43" s="67"/>
      <c r="G43" s="64"/>
      <c r="H43" s="48">
        <f>G43*F43</f>
        <v>0</v>
      </c>
      <c r="I43" s="64"/>
      <c r="J43" s="64">
        <f>ROUND(H43*6%,2)</f>
        <v>0</v>
      </c>
      <c r="K43" s="49">
        <f t="shared" si="2"/>
        <v>0</v>
      </c>
      <c r="L43" s="50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9">
        <f t="shared" si="7"/>
        <v>0</v>
      </c>
    </row>
    <row r="44" spans="1:17">
      <c r="A44" s="38"/>
      <c r="B44" s="39"/>
      <c r="C44" s="103" t="s">
        <v>113</v>
      </c>
      <c r="D44" s="24" t="s">
        <v>114</v>
      </c>
      <c r="E44" s="106">
        <v>22</v>
      </c>
      <c r="F44" s="67"/>
      <c r="G44" s="64"/>
      <c r="H44" s="48"/>
      <c r="I44" s="64"/>
      <c r="J44" s="64"/>
      <c r="K44" s="49">
        <f t="shared" si="2"/>
        <v>0</v>
      </c>
      <c r="L44" s="50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9">
        <f t="shared" si="7"/>
        <v>0</v>
      </c>
    </row>
    <row r="45" spans="1:17">
      <c r="A45" s="38"/>
      <c r="B45" s="39"/>
      <c r="C45" s="103" t="s">
        <v>93</v>
      </c>
      <c r="D45" s="24" t="s">
        <v>101</v>
      </c>
      <c r="E45" s="106">
        <v>1</v>
      </c>
      <c r="F45" s="67"/>
      <c r="G45" s="64"/>
      <c r="H45" s="48"/>
      <c r="I45" s="64"/>
      <c r="J45" s="64"/>
      <c r="K45" s="49">
        <f t="shared" si="2"/>
        <v>0</v>
      </c>
      <c r="L45" s="50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9">
        <f t="shared" si="7"/>
        <v>0</v>
      </c>
    </row>
    <row r="46" spans="1:17" ht="20.399999999999999">
      <c r="A46" s="38" t="s">
        <v>115</v>
      </c>
      <c r="B46" s="39" t="s">
        <v>89</v>
      </c>
      <c r="C46" s="104" t="s">
        <v>116</v>
      </c>
      <c r="D46" s="24" t="s">
        <v>57</v>
      </c>
      <c r="E46" s="106">
        <v>33</v>
      </c>
      <c r="F46" s="67"/>
      <c r="G46" s="64"/>
      <c r="H46" s="48">
        <f>G46*F46</f>
        <v>0</v>
      </c>
      <c r="I46" s="64"/>
      <c r="J46" s="64">
        <f>ROUND(H46*6%,2)</f>
        <v>0</v>
      </c>
      <c r="K46" s="49">
        <f t="shared" si="2"/>
        <v>0</v>
      </c>
      <c r="L46" s="50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9">
        <f t="shared" si="7"/>
        <v>0</v>
      </c>
    </row>
    <row r="47" spans="1:17" ht="20.399999999999999">
      <c r="A47" s="38"/>
      <c r="B47" s="39"/>
      <c r="C47" s="103" t="s">
        <v>117</v>
      </c>
      <c r="D47" s="24" t="s">
        <v>114</v>
      </c>
      <c r="E47" s="106">
        <v>33</v>
      </c>
      <c r="F47" s="67"/>
      <c r="G47" s="64"/>
      <c r="H47" s="48"/>
      <c r="I47" s="64"/>
      <c r="J47" s="64"/>
      <c r="K47" s="49">
        <f t="shared" si="2"/>
        <v>0</v>
      </c>
      <c r="L47" s="50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9">
        <f t="shared" si="7"/>
        <v>0</v>
      </c>
    </row>
    <row r="48" spans="1:17">
      <c r="A48" s="38"/>
      <c r="B48" s="39"/>
      <c r="C48" s="103" t="s">
        <v>93</v>
      </c>
      <c r="D48" s="24" t="s">
        <v>101</v>
      </c>
      <c r="E48" s="106">
        <v>1</v>
      </c>
      <c r="F48" s="67"/>
      <c r="G48" s="64"/>
      <c r="H48" s="48"/>
      <c r="I48" s="64"/>
      <c r="J48" s="64"/>
      <c r="K48" s="49">
        <f t="shared" si="2"/>
        <v>0</v>
      </c>
      <c r="L48" s="50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9">
        <f t="shared" si="7"/>
        <v>0</v>
      </c>
    </row>
    <row r="49" spans="1:16" ht="20.399999999999999">
      <c r="A49" s="38" t="s">
        <v>118</v>
      </c>
      <c r="B49" s="39" t="s">
        <v>119</v>
      </c>
      <c r="C49" s="104" t="s">
        <v>120</v>
      </c>
      <c r="D49" s="24" t="s">
        <v>121</v>
      </c>
      <c r="E49" s="106">
        <v>25</v>
      </c>
      <c r="F49" s="67"/>
      <c r="G49" s="64"/>
      <c r="H49" s="48">
        <f>ROUND(G49*F49,2)</f>
        <v>0</v>
      </c>
      <c r="I49" s="64"/>
      <c r="J49" s="64">
        <f>ROUND(H49*6%,2)</f>
        <v>0</v>
      </c>
      <c r="K49" s="49">
        <f t="shared" si="2"/>
        <v>0</v>
      </c>
      <c r="L49" s="50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9">
        <f t="shared" si="7"/>
        <v>0</v>
      </c>
    </row>
    <row r="50" spans="1:16" ht="20.399999999999999">
      <c r="A50" s="38"/>
      <c r="B50" s="39"/>
      <c r="C50" s="103" t="s">
        <v>122</v>
      </c>
      <c r="D50" s="24" t="s">
        <v>107</v>
      </c>
      <c r="E50" s="105">
        <f>E49*0.2</f>
        <v>5</v>
      </c>
      <c r="F50" s="67"/>
      <c r="G50" s="64"/>
      <c r="H50" s="48"/>
      <c r="I50" s="64"/>
      <c r="J50" s="64"/>
      <c r="K50" s="49">
        <f t="shared" si="2"/>
        <v>0</v>
      </c>
      <c r="L50" s="50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9">
        <f t="shared" si="7"/>
        <v>0</v>
      </c>
    </row>
    <row r="51" spans="1:16" ht="20.399999999999999">
      <c r="A51" s="38" t="s">
        <v>123</v>
      </c>
      <c r="B51" s="39" t="s">
        <v>119</v>
      </c>
      <c r="C51" s="104" t="s">
        <v>124</v>
      </c>
      <c r="D51" s="24" t="s">
        <v>121</v>
      </c>
      <c r="E51" s="106">
        <v>25</v>
      </c>
      <c r="F51" s="67"/>
      <c r="G51" s="64"/>
      <c r="H51" s="48">
        <f>ROUND(G51*F51,2)</f>
        <v>0</v>
      </c>
      <c r="I51" s="64"/>
      <c r="J51" s="64">
        <f>ROUND(H51*6%,2)</f>
        <v>0</v>
      </c>
      <c r="K51" s="49">
        <f t="shared" si="2"/>
        <v>0</v>
      </c>
      <c r="L51" s="50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9">
        <f t="shared" si="7"/>
        <v>0</v>
      </c>
    </row>
    <row r="52" spans="1:16" ht="15.6">
      <c r="A52" s="38"/>
      <c r="B52" s="39"/>
      <c r="C52" s="103" t="s">
        <v>125</v>
      </c>
      <c r="D52" s="24" t="s">
        <v>121</v>
      </c>
      <c r="E52" s="106">
        <f>E51*1.15</f>
        <v>28.75</v>
      </c>
      <c r="F52" s="67"/>
      <c r="G52" s="64"/>
      <c r="H52" s="48"/>
      <c r="I52" s="64"/>
      <c r="J52" s="64"/>
      <c r="K52" s="49">
        <f t="shared" si="2"/>
        <v>0</v>
      </c>
      <c r="L52" s="50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9">
        <f t="shared" si="7"/>
        <v>0</v>
      </c>
    </row>
    <row r="53" spans="1:16">
      <c r="A53" s="38"/>
      <c r="B53" s="39"/>
      <c r="C53" s="103" t="s">
        <v>126</v>
      </c>
      <c r="D53" s="24" t="s">
        <v>107</v>
      </c>
      <c r="E53" s="106">
        <f>E51*6</f>
        <v>150</v>
      </c>
      <c r="F53" s="67"/>
      <c r="G53" s="64"/>
      <c r="H53" s="48"/>
      <c r="I53" s="64"/>
      <c r="J53" s="64"/>
      <c r="K53" s="49">
        <f t="shared" si="2"/>
        <v>0</v>
      </c>
      <c r="L53" s="50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9">
        <f t="shared" si="7"/>
        <v>0</v>
      </c>
    </row>
    <row r="54" spans="1:16">
      <c r="A54" s="38"/>
      <c r="B54" s="39"/>
      <c r="C54" s="103" t="s">
        <v>127</v>
      </c>
      <c r="D54" s="24" t="s">
        <v>57</v>
      </c>
      <c r="E54" s="106">
        <v>20</v>
      </c>
      <c r="F54" s="67"/>
      <c r="G54" s="64"/>
      <c r="H54" s="48"/>
      <c r="I54" s="64"/>
      <c r="J54" s="64"/>
      <c r="K54" s="49">
        <f t="shared" si="2"/>
        <v>0</v>
      </c>
      <c r="L54" s="50">
        <f t="shared" si="3"/>
        <v>0</v>
      </c>
      <c r="M54" s="48">
        <f t="shared" si="4"/>
        <v>0</v>
      </c>
      <c r="N54" s="48">
        <f t="shared" si="5"/>
        <v>0</v>
      </c>
      <c r="O54" s="48">
        <f t="shared" si="6"/>
        <v>0</v>
      </c>
      <c r="P54" s="49">
        <f t="shared" si="7"/>
        <v>0</v>
      </c>
    </row>
    <row r="55" spans="1:16" ht="20.399999999999999">
      <c r="A55" s="38" t="s">
        <v>128</v>
      </c>
      <c r="B55" s="39" t="s">
        <v>119</v>
      </c>
      <c r="C55" s="104" t="s">
        <v>129</v>
      </c>
      <c r="D55" s="24" t="s">
        <v>121</v>
      </c>
      <c r="E55" s="106">
        <f>E51</f>
        <v>25</v>
      </c>
      <c r="F55" s="67"/>
      <c r="G55" s="64"/>
      <c r="H55" s="48">
        <f>ROUND(G55*F55,2)</f>
        <v>0</v>
      </c>
      <c r="I55" s="64"/>
      <c r="J55" s="64">
        <f>ROUND(H55*6%,2)</f>
        <v>0</v>
      </c>
      <c r="K55" s="49">
        <f t="shared" si="2"/>
        <v>0</v>
      </c>
      <c r="L55" s="50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9">
        <f t="shared" si="7"/>
        <v>0</v>
      </c>
    </row>
    <row r="56" spans="1:16" ht="20.399999999999999">
      <c r="A56" s="38"/>
      <c r="B56" s="39"/>
      <c r="C56" s="103" t="s">
        <v>122</v>
      </c>
      <c r="D56" s="24" t="s">
        <v>107</v>
      </c>
      <c r="E56" s="105">
        <v>362</v>
      </c>
      <c r="F56" s="67"/>
      <c r="G56" s="64"/>
      <c r="H56" s="48"/>
      <c r="I56" s="64"/>
      <c r="J56" s="64"/>
      <c r="K56" s="49">
        <f t="shared" si="2"/>
        <v>0</v>
      </c>
      <c r="L56" s="50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9">
        <f t="shared" si="7"/>
        <v>0</v>
      </c>
    </row>
    <row r="57" spans="1:16">
      <c r="A57" s="38"/>
      <c r="B57" s="39"/>
      <c r="C57" s="103" t="s">
        <v>130</v>
      </c>
      <c r="D57" s="24" t="s">
        <v>107</v>
      </c>
      <c r="E57" s="105">
        <f>E55*1.8*2.5</f>
        <v>113</v>
      </c>
      <c r="F57" s="67"/>
      <c r="G57" s="64"/>
      <c r="H57" s="48"/>
      <c r="I57" s="64"/>
      <c r="J57" s="64"/>
      <c r="K57" s="49">
        <f t="shared" si="2"/>
        <v>0</v>
      </c>
      <c r="L57" s="50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9">
        <f t="shared" si="7"/>
        <v>0</v>
      </c>
    </row>
    <row r="58" spans="1:16" ht="20.399999999999999">
      <c r="A58" s="38" t="s">
        <v>131</v>
      </c>
      <c r="B58" s="39" t="s">
        <v>119</v>
      </c>
      <c r="C58" s="104" t="s">
        <v>132</v>
      </c>
      <c r="D58" s="24" t="s">
        <v>121</v>
      </c>
      <c r="E58" s="106">
        <f>SUM(E55)</f>
        <v>25</v>
      </c>
      <c r="F58" s="67"/>
      <c r="G58" s="64"/>
      <c r="H58" s="48">
        <f>ROUND(G58*F58,2)</f>
        <v>0</v>
      </c>
      <c r="I58" s="64"/>
      <c r="J58" s="64">
        <f>ROUND(H58*6%,2)</f>
        <v>0</v>
      </c>
      <c r="K58" s="49">
        <f t="shared" si="2"/>
        <v>0</v>
      </c>
      <c r="L58" s="50">
        <f t="shared" si="3"/>
        <v>0</v>
      </c>
      <c r="M58" s="48">
        <f t="shared" si="4"/>
        <v>0</v>
      </c>
      <c r="N58" s="48">
        <f t="shared" si="5"/>
        <v>0</v>
      </c>
      <c r="O58" s="48">
        <f t="shared" si="6"/>
        <v>0</v>
      </c>
      <c r="P58" s="49">
        <f t="shared" si="7"/>
        <v>0</v>
      </c>
    </row>
    <row r="59" spans="1:16">
      <c r="A59" s="38"/>
      <c r="B59" s="39"/>
      <c r="C59" s="103" t="s">
        <v>133</v>
      </c>
      <c r="D59" s="24" t="s">
        <v>107</v>
      </c>
      <c r="E59" s="105">
        <f>E58*0.18</f>
        <v>5</v>
      </c>
      <c r="F59" s="67"/>
      <c r="G59" s="64"/>
      <c r="H59" s="48">
        <f t="shared" si="8"/>
        <v>0</v>
      </c>
      <c r="I59" s="64"/>
      <c r="J59" s="64"/>
      <c r="K59" s="49">
        <f t="shared" si="2"/>
        <v>0</v>
      </c>
      <c r="L59" s="50">
        <f t="shared" si="3"/>
        <v>0</v>
      </c>
      <c r="M59" s="48">
        <f t="shared" si="4"/>
        <v>0</v>
      </c>
      <c r="N59" s="48">
        <f t="shared" si="5"/>
        <v>0</v>
      </c>
      <c r="O59" s="48">
        <f t="shared" si="6"/>
        <v>0</v>
      </c>
      <c r="P59" s="49">
        <f t="shared" si="7"/>
        <v>0</v>
      </c>
    </row>
    <row r="60" spans="1:16" ht="21" thickBot="1">
      <c r="A60" s="38"/>
      <c r="B60" s="39"/>
      <c r="C60" s="103" t="s">
        <v>134</v>
      </c>
      <c r="D60" s="24" t="s">
        <v>107</v>
      </c>
      <c r="E60" s="105">
        <f>E58*0.3</f>
        <v>8</v>
      </c>
      <c r="F60" s="67"/>
      <c r="G60" s="64"/>
      <c r="H60" s="48">
        <f t="shared" si="8"/>
        <v>0</v>
      </c>
      <c r="I60" s="64"/>
      <c r="J60" s="64"/>
      <c r="K60" s="49">
        <f t="shared" si="2"/>
        <v>0</v>
      </c>
      <c r="L60" s="50">
        <f t="shared" si="3"/>
        <v>0</v>
      </c>
      <c r="M60" s="48">
        <f t="shared" si="4"/>
        <v>0</v>
      </c>
      <c r="N60" s="48">
        <f t="shared" si="5"/>
        <v>0</v>
      </c>
      <c r="O60" s="48">
        <f t="shared" si="6"/>
        <v>0</v>
      </c>
      <c r="P60" s="49">
        <f t="shared" si="7"/>
        <v>0</v>
      </c>
    </row>
    <row r="61" spans="1:16" ht="10.8" thickBot="1">
      <c r="A61" s="176" t="s">
        <v>76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8"/>
      <c r="L61" s="68">
        <f>SUM(L14:L60)</f>
        <v>0</v>
      </c>
      <c r="M61" s="69">
        <f>SUM(M14:M60)</f>
        <v>0</v>
      </c>
      <c r="N61" s="69">
        <f>SUM(N14:N60)</f>
        <v>0</v>
      </c>
      <c r="O61" s="69">
        <f>SUM(O14:O60)</f>
        <v>0</v>
      </c>
      <c r="P61" s="70">
        <f>SUM(P14:P60)</f>
        <v>0</v>
      </c>
    </row>
    <row r="62" spans="1:16">
      <c r="A62" s="17"/>
      <c r="B62" s="17"/>
      <c r="C62" s="17"/>
      <c r="D62" s="17"/>
      <c r="E62" s="113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17"/>
      <c r="B63" s="17"/>
      <c r="C63" s="17"/>
      <c r="D63" s="17"/>
      <c r="E63" s="113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>
      <c r="A64" s="1" t="s">
        <v>14</v>
      </c>
      <c r="B64" s="17"/>
      <c r="C64" s="175">
        <f>'Kops a'!C33:H33</f>
        <v>0</v>
      </c>
      <c r="D64" s="175"/>
      <c r="E64" s="175"/>
      <c r="F64" s="175"/>
      <c r="G64" s="175"/>
      <c r="H64" s="175"/>
      <c r="I64" s="17"/>
      <c r="J64" s="17"/>
      <c r="K64" s="17"/>
      <c r="L64" s="17"/>
      <c r="M64" s="17"/>
      <c r="N64" s="17"/>
      <c r="O64" s="17"/>
      <c r="P64" s="17"/>
    </row>
    <row r="65" spans="1:16">
      <c r="A65" s="17"/>
      <c r="B65" s="17"/>
      <c r="C65" s="125" t="s">
        <v>15</v>
      </c>
      <c r="D65" s="125"/>
      <c r="E65" s="125"/>
      <c r="F65" s="125"/>
      <c r="G65" s="125"/>
      <c r="H65" s="125"/>
      <c r="I65" s="17"/>
      <c r="J65" s="17"/>
      <c r="K65" s="17"/>
      <c r="L65" s="17"/>
      <c r="M65" s="17"/>
      <c r="N65" s="17"/>
      <c r="O65" s="17"/>
      <c r="P65" s="17"/>
    </row>
    <row r="66" spans="1:16">
      <c r="A66" s="17"/>
      <c r="B66" s="17"/>
      <c r="C66" s="17"/>
      <c r="D66" s="17"/>
      <c r="E66" s="1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87" t="str">
        <f>'Kops a'!A36</f>
        <v>Tāme sastādīta</v>
      </c>
      <c r="B67" s="88"/>
      <c r="C67" s="88"/>
      <c r="D67" s="88"/>
      <c r="E67" s="1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>
      <c r="A68" s="17"/>
      <c r="B68" s="17"/>
      <c r="C68" s="17"/>
      <c r="D68" s="17"/>
      <c r="E68" s="1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>
      <c r="A69" s="1" t="s">
        <v>37</v>
      </c>
      <c r="B69" s="17"/>
      <c r="C69" s="175">
        <f>'Kops a'!C38:H38</f>
        <v>0</v>
      </c>
      <c r="D69" s="175"/>
      <c r="E69" s="175"/>
      <c r="F69" s="175"/>
      <c r="G69" s="175"/>
      <c r="H69" s="175"/>
      <c r="I69" s="17"/>
      <c r="J69" s="17"/>
      <c r="K69" s="17"/>
      <c r="L69" s="17"/>
      <c r="M69" s="17"/>
      <c r="N69" s="17"/>
      <c r="O69" s="17"/>
      <c r="P69" s="17"/>
    </row>
    <row r="70" spans="1:16">
      <c r="A70" s="17"/>
      <c r="B70" s="17"/>
      <c r="C70" s="125" t="s">
        <v>15</v>
      </c>
      <c r="D70" s="125"/>
      <c r="E70" s="125"/>
      <c r="F70" s="125"/>
      <c r="G70" s="125"/>
      <c r="H70" s="125"/>
      <c r="I70" s="17"/>
      <c r="J70" s="17"/>
      <c r="K70" s="17"/>
      <c r="L70" s="17"/>
      <c r="M70" s="17"/>
      <c r="N70" s="17"/>
      <c r="O70" s="17"/>
      <c r="P70" s="17"/>
    </row>
    <row r="71" spans="1:16">
      <c r="A71" s="17"/>
      <c r="B71" s="17"/>
      <c r="C71" s="17"/>
      <c r="D71" s="17"/>
      <c r="E71" s="11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>
      <c r="A72" s="87" t="s">
        <v>54</v>
      </c>
      <c r="B72" s="88"/>
      <c r="C72" s="92">
        <f>'Kops a'!C41</f>
        <v>0</v>
      </c>
      <c r="D72" s="51"/>
      <c r="E72" s="113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>
      <c r="A73" s="17"/>
      <c r="B73" s="17"/>
      <c r="C73" s="17"/>
      <c r="D73" s="17"/>
      <c r="E73" s="113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</sheetData>
  <mergeCells count="22">
    <mergeCell ref="N9:O9"/>
    <mergeCell ref="L12:P12"/>
    <mergeCell ref="A9:I9"/>
    <mergeCell ref="C2:I2"/>
    <mergeCell ref="C3:I3"/>
    <mergeCell ref="D5:L5"/>
    <mergeCell ref="D6:L6"/>
    <mergeCell ref="D7:L7"/>
    <mergeCell ref="C70:H70"/>
    <mergeCell ref="C4:I4"/>
    <mergeCell ref="F12:K12"/>
    <mergeCell ref="J9:M9"/>
    <mergeCell ref="D8:L8"/>
    <mergeCell ref="A61:K61"/>
    <mergeCell ref="C64:H64"/>
    <mergeCell ref="C65:H65"/>
    <mergeCell ref="C69:H69"/>
    <mergeCell ref="A12:A13"/>
    <mergeCell ref="B12:B13"/>
    <mergeCell ref="C12:C13"/>
    <mergeCell ref="D12:D13"/>
    <mergeCell ref="E12:E13"/>
  </mergeCells>
  <conditionalFormatting sqref="I37:J37 F37:G37 F39:G39 I39:J39">
    <cfRule type="cellIs" dxfId="211" priority="50" operator="equal">
      <formula>0</formula>
    </cfRule>
  </conditionalFormatting>
  <conditionalFormatting sqref="N9:O9">
    <cfRule type="cellIs" dxfId="210" priority="49" operator="equal">
      <formula>0</formula>
    </cfRule>
  </conditionalFormatting>
  <conditionalFormatting sqref="C2:I2">
    <cfRule type="cellIs" dxfId="209" priority="46" operator="equal">
      <formula>0</formula>
    </cfRule>
  </conditionalFormatting>
  <conditionalFormatting sqref="O10">
    <cfRule type="cellIs" dxfId="208" priority="45" operator="equal">
      <formula>"20__. gada __. _________"</formula>
    </cfRule>
  </conditionalFormatting>
  <conditionalFormatting sqref="A61:K61">
    <cfRule type="containsText" dxfId="207" priority="44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H37 K37:P37 L40:P61 L14:P36 K39:P39 L38:P38 H39">
    <cfRule type="cellIs" dxfId="206" priority="39" operator="equal">
      <formula>0</formula>
    </cfRule>
  </conditionalFormatting>
  <conditionalFormatting sqref="C4:I4">
    <cfRule type="cellIs" dxfId="205" priority="38" operator="equal">
      <formula>0</formula>
    </cfRule>
  </conditionalFormatting>
  <conditionalFormatting sqref="G25:G27">
    <cfRule type="cellIs" dxfId="204" priority="12" operator="equal">
      <formula>0</formula>
    </cfRule>
  </conditionalFormatting>
  <conditionalFormatting sqref="D5:L8">
    <cfRule type="cellIs" dxfId="203" priority="36" operator="equal">
      <formula>0</formula>
    </cfRule>
  </conditionalFormatting>
  <conditionalFormatting sqref="P10">
    <cfRule type="cellIs" dxfId="202" priority="35" operator="equal">
      <formula>"20__. gada __. _________"</formula>
    </cfRule>
  </conditionalFormatting>
  <conditionalFormatting sqref="C69:H69">
    <cfRule type="cellIs" dxfId="201" priority="32" operator="equal">
      <formula>0</formula>
    </cfRule>
  </conditionalFormatting>
  <conditionalFormatting sqref="C64:H64">
    <cfRule type="cellIs" dxfId="200" priority="31" operator="equal">
      <formula>0</formula>
    </cfRule>
  </conditionalFormatting>
  <conditionalFormatting sqref="C69:H69 C72 C64:H64">
    <cfRule type="cellIs" dxfId="199" priority="30" operator="equal">
      <formula>0</formula>
    </cfRule>
  </conditionalFormatting>
  <conditionalFormatting sqref="D1">
    <cfRule type="cellIs" dxfId="198" priority="29" operator="equal">
      <formula>0</formula>
    </cfRule>
  </conditionalFormatting>
  <conditionalFormatting sqref="A14:B60 D14:E60">
    <cfRule type="cellIs" dxfId="197" priority="28" operator="equal">
      <formula>0</formula>
    </cfRule>
  </conditionalFormatting>
  <conditionalFormatting sqref="C14:C60">
    <cfRule type="cellIs" dxfId="196" priority="27" operator="equal">
      <formula>0</formula>
    </cfRule>
  </conditionalFormatting>
  <conditionalFormatting sqref="I14:J21 F14:G21">
    <cfRule type="cellIs" dxfId="195" priority="26" operator="equal">
      <formula>0</formula>
    </cfRule>
  </conditionalFormatting>
  <conditionalFormatting sqref="H14:H21 K14:K21">
    <cfRule type="cellIs" dxfId="194" priority="25" operator="equal">
      <formula>0</formula>
    </cfRule>
  </conditionalFormatting>
  <conditionalFormatting sqref="I22:J25 F22:G24 F25">
    <cfRule type="cellIs" dxfId="193" priority="24" operator="equal">
      <formula>0</formula>
    </cfRule>
  </conditionalFormatting>
  <conditionalFormatting sqref="H22:H25 K22:K25">
    <cfRule type="cellIs" dxfId="192" priority="23" operator="equal">
      <formula>0</formula>
    </cfRule>
  </conditionalFormatting>
  <conditionalFormatting sqref="I26:J31 F28:G29 F26:F27 F31:G31 F30">
    <cfRule type="cellIs" dxfId="191" priority="22" operator="equal">
      <formula>0</formula>
    </cfRule>
  </conditionalFormatting>
  <conditionalFormatting sqref="H26:H31 K26:K31">
    <cfRule type="cellIs" dxfId="190" priority="21" operator="equal">
      <formula>0</formula>
    </cfRule>
  </conditionalFormatting>
  <conditionalFormatting sqref="I32:J35 F32:G32 F35:G35 F33:F34">
    <cfRule type="cellIs" dxfId="189" priority="20" operator="equal">
      <formula>0</formula>
    </cfRule>
  </conditionalFormatting>
  <conditionalFormatting sqref="H32:H35 K32:K35">
    <cfRule type="cellIs" dxfId="188" priority="19" operator="equal">
      <formula>0</formula>
    </cfRule>
  </conditionalFormatting>
  <conditionalFormatting sqref="I40:J60 F40:G41 F44:G45 F42:F43 F47:G48 F46 F50:G50 F49 F52:G54 F51 F56:G57 F55 F59:G60 F58">
    <cfRule type="cellIs" dxfId="187" priority="18" operator="equal">
      <formula>0</formula>
    </cfRule>
  </conditionalFormatting>
  <conditionalFormatting sqref="H40:H60 K40:K60">
    <cfRule type="cellIs" dxfId="186" priority="17" operator="equal">
      <formula>0</formula>
    </cfRule>
  </conditionalFormatting>
  <conditionalFormatting sqref="I36:J36 F36">
    <cfRule type="cellIs" dxfId="185" priority="16" operator="equal">
      <formula>0</formula>
    </cfRule>
  </conditionalFormatting>
  <conditionalFormatting sqref="H36 K36">
    <cfRule type="cellIs" dxfId="184" priority="15" operator="equal">
      <formula>0</formula>
    </cfRule>
  </conditionalFormatting>
  <conditionalFormatting sqref="I38:J38 F38">
    <cfRule type="cellIs" dxfId="183" priority="14" operator="equal">
      <formula>0</formula>
    </cfRule>
  </conditionalFormatting>
  <conditionalFormatting sqref="H38 K38">
    <cfRule type="cellIs" dxfId="182" priority="13" operator="equal">
      <formula>0</formula>
    </cfRule>
  </conditionalFormatting>
  <conditionalFormatting sqref="G30">
    <cfRule type="cellIs" dxfId="181" priority="11" operator="equal">
      <formula>0</formula>
    </cfRule>
  </conditionalFormatting>
  <conditionalFormatting sqref="G33:G34">
    <cfRule type="cellIs" dxfId="180" priority="10" operator="equal">
      <formula>0</formula>
    </cfRule>
  </conditionalFormatting>
  <conditionalFormatting sqref="G36">
    <cfRule type="cellIs" dxfId="179" priority="9" operator="equal">
      <formula>0</formula>
    </cfRule>
  </conditionalFormatting>
  <conditionalFormatting sqref="G38">
    <cfRule type="cellIs" dxfId="178" priority="8" operator="equal">
      <formula>0</formula>
    </cfRule>
  </conditionalFormatting>
  <conditionalFormatting sqref="G42:G43">
    <cfRule type="cellIs" dxfId="177" priority="7" operator="equal">
      <formula>0</formula>
    </cfRule>
  </conditionalFormatting>
  <conditionalFormatting sqref="G46">
    <cfRule type="cellIs" dxfId="176" priority="6" operator="equal">
      <formula>0</formula>
    </cfRule>
  </conditionalFormatting>
  <conditionalFormatting sqref="G49">
    <cfRule type="cellIs" dxfId="175" priority="5" operator="equal">
      <formula>0</formula>
    </cfRule>
  </conditionalFormatting>
  <conditionalFormatting sqref="G51">
    <cfRule type="cellIs" dxfId="174" priority="4" operator="equal">
      <formula>0</formula>
    </cfRule>
  </conditionalFormatting>
  <conditionalFormatting sqref="G55">
    <cfRule type="cellIs" dxfId="173" priority="3" operator="equal">
      <formula>0</formula>
    </cfRule>
  </conditionalFormatting>
  <conditionalFormatting sqref="G58">
    <cfRule type="cellIs" dxfId="172" priority="2" operator="equal">
      <formula>0</formula>
    </cfRule>
  </conditionalFormatting>
  <conditionalFormatting sqref="A9">
    <cfRule type="containsText" dxfId="17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" operator="containsText" id="{46B16A03-C867-4231-9EE2-FA19DDA4D492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33" operator="containsText" id="{2AF3CC58-04F0-4432-AA0F-D3D058C3CAD1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67"/>
  <sheetViews>
    <sheetView topLeftCell="A13" zoomScaleNormal="100" workbookViewId="0">
      <selection activeCell="I49" sqref="I49:I54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2.77734375" style="1" customWidth="1"/>
    <col min="4" max="4" width="5.77734375" style="1" customWidth="1"/>
    <col min="5" max="5" width="7.109375" style="114" customWidth="1"/>
    <col min="6" max="6" width="4.6640625" style="1" customWidth="1"/>
    <col min="7" max="7" width="4.77734375" style="1" customWidth="1"/>
    <col min="8" max="8" width="5.33203125" style="1" customWidth="1"/>
    <col min="9" max="9" width="4.77734375" style="1" customWidth="1"/>
    <col min="10" max="10" width="5.33203125" style="1" customWidth="1"/>
    <col min="11" max="11" width="7" style="1" customWidth="1"/>
    <col min="12" max="12" width="6.33203125" style="1" customWidth="1"/>
    <col min="13" max="13" width="7.33203125" style="1" customWidth="1"/>
    <col min="14" max="14" width="6.44140625" style="1" customWidth="1"/>
    <col min="15" max="15" width="6.77734375" style="1" customWidth="1"/>
    <col min="16" max="16" width="7.6640625" style="1" customWidth="1"/>
    <col min="17" max="17" width="12.44140625" style="1" customWidth="1"/>
    <col min="18" max="16384" width="9.109375" style="1"/>
  </cols>
  <sheetData>
    <row r="1" spans="1:16">
      <c r="A1" s="23"/>
      <c r="B1" s="23"/>
      <c r="C1" s="27" t="s">
        <v>38</v>
      </c>
      <c r="D1" s="52">
        <f>'Kops a'!A17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6">
      <c r="A2" s="29"/>
      <c r="B2" s="29"/>
      <c r="C2" s="180" t="s">
        <v>334</v>
      </c>
      <c r="D2" s="180"/>
      <c r="E2" s="180"/>
      <c r="F2" s="180"/>
      <c r="G2" s="180"/>
      <c r="H2" s="180"/>
      <c r="I2" s="180"/>
      <c r="J2" s="29"/>
    </row>
    <row r="3" spans="1:16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6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6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6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6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6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6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P55</f>
        <v>0</v>
      </c>
      <c r="O9" s="192"/>
      <c r="P9" s="31"/>
    </row>
    <row r="10" spans="1:16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A61</f>
        <v>Tāme sastādīta</v>
      </c>
    </row>
    <row r="11" spans="1:16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6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>
      <c r="A14" s="38"/>
      <c r="B14" s="39"/>
      <c r="C14" s="94" t="s">
        <v>136</v>
      </c>
      <c r="D14" s="24"/>
      <c r="E14" s="112"/>
      <c r="F14" s="67"/>
      <c r="G14" s="64"/>
      <c r="H14" s="48">
        <f>ROUND(F14*G14,2)</f>
        <v>0</v>
      </c>
      <c r="I14" s="64"/>
      <c r="J14" s="64"/>
      <c r="K14" s="49">
        <f>SUM(H14:J14)</f>
        <v>0</v>
      </c>
      <c r="L14" s="50">
        <f>ROUND(E14*F14,2)</f>
        <v>0</v>
      </c>
      <c r="M14" s="48">
        <f>ROUND(H14*E14,2)</f>
        <v>0</v>
      </c>
      <c r="N14" s="48">
        <f>ROUND(I14*E14,2)</f>
        <v>0</v>
      </c>
      <c r="O14" s="48">
        <f>ROUND(J14*E14,2)</f>
        <v>0</v>
      </c>
      <c r="P14" s="49">
        <f>SUM(M14:O14)</f>
        <v>0</v>
      </c>
    </row>
    <row r="15" spans="1:16" ht="40.799999999999997">
      <c r="A15" s="38">
        <v>1</v>
      </c>
      <c r="B15" s="39" t="s">
        <v>79</v>
      </c>
      <c r="C15" s="104" t="s">
        <v>137</v>
      </c>
      <c r="D15" s="24" t="s">
        <v>73</v>
      </c>
      <c r="E15" s="106">
        <v>1</v>
      </c>
      <c r="F15" s="67"/>
      <c r="G15" s="64"/>
      <c r="H15" s="48">
        <f>ROUND(G15*F15,2)</f>
        <v>0</v>
      </c>
      <c r="I15" s="64"/>
      <c r="J15" s="64"/>
      <c r="K15" s="49">
        <f>H15+I15+J15</f>
        <v>0</v>
      </c>
      <c r="L15" s="50">
        <f>ROUND(E15*F15,2)</f>
        <v>0</v>
      </c>
      <c r="M15" s="48">
        <f>ROUND(E15*H15,2)</f>
        <v>0</v>
      </c>
      <c r="N15" s="48">
        <f>ROUND(E15*I15,2)</f>
        <v>0</v>
      </c>
      <c r="O15" s="48">
        <f>ROUND(E15*J15,2)</f>
        <v>0</v>
      </c>
      <c r="P15" s="49">
        <f t="shared" ref="P15" si="0">O15+N15+M15</f>
        <v>0</v>
      </c>
    </row>
    <row r="16" spans="1:16" ht="20.399999999999999">
      <c r="A16" s="38">
        <v>2</v>
      </c>
      <c r="B16" s="39" t="s">
        <v>79</v>
      </c>
      <c r="C16" s="104" t="s">
        <v>138</v>
      </c>
      <c r="D16" s="24" t="s">
        <v>81</v>
      </c>
      <c r="E16" s="109">
        <f>30*1.45*0.95</f>
        <v>41.33</v>
      </c>
      <c r="F16" s="67"/>
      <c r="G16" s="64"/>
      <c r="H16" s="48">
        <f>ROUND(G16*F16,2)</f>
        <v>0</v>
      </c>
      <c r="I16" s="64"/>
      <c r="J16" s="64"/>
      <c r="K16" s="49">
        <f>H16+I16+J16</f>
        <v>0</v>
      </c>
      <c r="L16" s="50">
        <f>ROUND(E16*F16,2)</f>
        <v>0</v>
      </c>
      <c r="M16" s="48">
        <f>ROUND(E16*H16,2)</f>
        <v>0</v>
      </c>
      <c r="N16" s="48">
        <f>ROUND(E16*I16,2)</f>
        <v>0</v>
      </c>
      <c r="O16" s="48">
        <f>ROUND(E16*J16,2)</f>
        <v>0</v>
      </c>
      <c r="P16" s="49">
        <f t="shared" ref="P16" si="1">O16+N16+M16</f>
        <v>0</v>
      </c>
    </row>
    <row r="17" spans="1:16" ht="20.399999999999999">
      <c r="A17" s="38">
        <v>3</v>
      </c>
      <c r="B17" s="39" t="s">
        <v>79</v>
      </c>
      <c r="C17" s="104" t="s">
        <v>139</v>
      </c>
      <c r="D17" s="24" t="s">
        <v>57</v>
      </c>
      <c r="E17" s="106">
        <v>1280</v>
      </c>
      <c r="F17" s="67"/>
      <c r="G17" s="64"/>
      <c r="H17" s="48">
        <f>ROUND(G17*F17,2)</f>
        <v>0</v>
      </c>
      <c r="I17" s="64"/>
      <c r="J17" s="64"/>
      <c r="K17" s="49">
        <f>H17+I17+J17</f>
        <v>0</v>
      </c>
      <c r="L17" s="50">
        <f t="shared" ref="L17:L46" si="2">ROUND(E17*F17,2)</f>
        <v>0</v>
      </c>
      <c r="M17" s="48">
        <f t="shared" ref="M17:M46" si="3">ROUND(H17*E17,2)</f>
        <v>0</v>
      </c>
      <c r="N17" s="48">
        <f t="shared" ref="N17:N46" si="4">ROUND(I17*E17,2)</f>
        <v>0</v>
      </c>
      <c r="O17" s="48">
        <f t="shared" ref="O17:O46" si="5">ROUND(J17*E17,2)</f>
        <v>0</v>
      </c>
      <c r="P17" s="49">
        <f t="shared" ref="P17:P46" si="6">SUM(M17:O17)</f>
        <v>0</v>
      </c>
    </row>
    <row r="18" spans="1:16" ht="20.399999999999999">
      <c r="A18" s="38">
        <v>4</v>
      </c>
      <c r="B18" s="39" t="s">
        <v>140</v>
      </c>
      <c r="C18" s="104" t="s">
        <v>141</v>
      </c>
      <c r="D18" s="24" t="s">
        <v>81</v>
      </c>
      <c r="E18" s="109">
        <v>3600</v>
      </c>
      <c r="F18" s="67"/>
      <c r="G18" s="64"/>
      <c r="H18" s="48">
        <f>ROUND(G18*F18,2)</f>
        <v>0</v>
      </c>
      <c r="I18" s="64"/>
      <c r="J18" s="64"/>
      <c r="K18" s="49">
        <f t="shared" ref="K18:K46" si="7">SUM(H18:J18)</f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>
      <c r="A19" s="38"/>
      <c r="B19" s="39"/>
      <c r="C19" s="103" t="s">
        <v>142</v>
      </c>
      <c r="D19" s="24" t="s">
        <v>81</v>
      </c>
      <c r="E19" s="109">
        <f>E18</f>
        <v>3600</v>
      </c>
      <c r="F19" s="67"/>
      <c r="G19" s="64"/>
      <c r="H19" s="48">
        <f t="shared" ref="H19:H46" si="8">ROUND(F19*G19,2)</f>
        <v>0</v>
      </c>
      <c r="I19" s="64"/>
      <c r="J19" s="64"/>
      <c r="K19" s="49">
        <f t="shared" si="7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>
      <c r="A20" s="38"/>
      <c r="B20" s="39"/>
      <c r="C20" s="103" t="s">
        <v>143</v>
      </c>
      <c r="D20" s="24" t="s">
        <v>81</v>
      </c>
      <c r="E20" s="109">
        <f>E18*1.05</f>
        <v>3780</v>
      </c>
      <c r="F20" s="67"/>
      <c r="G20" s="64"/>
      <c r="H20" s="48">
        <f t="shared" si="8"/>
        <v>0</v>
      </c>
      <c r="I20" s="64"/>
      <c r="J20" s="64"/>
      <c r="K20" s="49">
        <f t="shared" si="7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4" customHeight="1">
      <c r="A21" s="38">
        <v>5</v>
      </c>
      <c r="B21" s="39" t="s">
        <v>119</v>
      </c>
      <c r="C21" s="104" t="s">
        <v>144</v>
      </c>
      <c r="D21" s="24" t="s">
        <v>121</v>
      </c>
      <c r="E21" s="120">
        <v>2084</v>
      </c>
      <c r="F21" s="67"/>
      <c r="G21" s="64"/>
      <c r="H21" s="48">
        <f>ROUND(G21*F21,2)</f>
        <v>0</v>
      </c>
      <c r="I21" s="64"/>
      <c r="J21" s="64"/>
      <c r="K21" s="49">
        <f t="shared" si="7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>
      <c r="A22" s="38"/>
      <c r="B22" s="39"/>
      <c r="C22" s="103" t="s">
        <v>122</v>
      </c>
      <c r="D22" s="24" t="s">
        <v>107</v>
      </c>
      <c r="E22" s="105">
        <f>E21*0.2</f>
        <v>417</v>
      </c>
      <c r="F22" s="67"/>
      <c r="G22" s="64"/>
      <c r="H22" s="48"/>
      <c r="I22" s="64"/>
      <c r="J22" s="64"/>
      <c r="K22" s="49">
        <f t="shared" si="7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40.799999999999997">
      <c r="A23" s="38">
        <v>6</v>
      </c>
      <c r="B23" s="39" t="s">
        <v>119</v>
      </c>
      <c r="C23" s="104" t="s">
        <v>145</v>
      </c>
      <c r="D23" s="24" t="s">
        <v>121</v>
      </c>
      <c r="E23" s="106">
        <f>E21*0.25</f>
        <v>521</v>
      </c>
      <c r="F23" s="67"/>
      <c r="G23" s="64"/>
      <c r="H23" s="48">
        <f>ROUND(G23*F23,2)</f>
        <v>0</v>
      </c>
      <c r="I23" s="64"/>
      <c r="J23" s="64"/>
      <c r="K23" s="49">
        <f t="shared" si="7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>
      <c r="A24" s="38"/>
      <c r="B24" s="39"/>
      <c r="C24" s="103" t="s">
        <v>146</v>
      </c>
      <c r="D24" s="24" t="s">
        <v>81</v>
      </c>
      <c r="E24" s="106">
        <f>E23*1.15</f>
        <v>599.15</v>
      </c>
      <c r="F24" s="67"/>
      <c r="G24" s="64"/>
      <c r="H24" s="48">
        <f t="shared" si="8"/>
        <v>0</v>
      </c>
      <c r="I24" s="64"/>
      <c r="J24" s="64"/>
      <c r="K24" s="49">
        <f t="shared" si="7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>
      <c r="A25" s="38"/>
      <c r="B25" s="39"/>
      <c r="C25" s="103" t="s">
        <v>126</v>
      </c>
      <c r="D25" s="24" t="s">
        <v>107</v>
      </c>
      <c r="E25" s="105">
        <f>E23*10</f>
        <v>5210</v>
      </c>
      <c r="F25" s="67"/>
      <c r="G25" s="64"/>
      <c r="H25" s="48">
        <f t="shared" si="8"/>
        <v>0</v>
      </c>
      <c r="I25" s="64"/>
      <c r="J25" s="64"/>
      <c r="K25" s="49">
        <f t="shared" si="7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0.399999999999999">
      <c r="A26" s="38">
        <v>7</v>
      </c>
      <c r="B26" s="39" t="s">
        <v>83</v>
      </c>
      <c r="C26" s="104" t="s">
        <v>147</v>
      </c>
      <c r="D26" s="24" t="s">
        <v>121</v>
      </c>
      <c r="E26" s="120">
        <f>E21</f>
        <v>2084</v>
      </c>
      <c r="F26" s="67"/>
      <c r="G26" s="64"/>
      <c r="H26" s="48">
        <f>ROUND(G26*F26,2)</f>
        <v>0</v>
      </c>
      <c r="I26" s="64"/>
      <c r="J26" s="64"/>
      <c r="K26" s="49">
        <f t="shared" si="7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4" customHeight="1">
      <c r="A27" s="38"/>
      <c r="B27" s="39"/>
      <c r="C27" s="103" t="s">
        <v>148</v>
      </c>
      <c r="D27" s="24" t="s">
        <v>121</v>
      </c>
      <c r="E27" s="120">
        <f>E26*1.05</f>
        <v>2188.1999999999998</v>
      </c>
      <c r="F27" s="67"/>
      <c r="G27" s="64"/>
      <c r="H27" s="48"/>
      <c r="I27" s="64"/>
      <c r="J27" s="64"/>
      <c r="K27" s="49">
        <f t="shared" si="7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>
      <c r="A28" s="38"/>
      <c r="B28" s="39"/>
      <c r="C28" s="103" t="s">
        <v>126</v>
      </c>
      <c r="D28" s="24" t="s">
        <v>107</v>
      </c>
      <c r="E28" s="121">
        <f>E26*6</f>
        <v>12504</v>
      </c>
      <c r="F28" s="67"/>
      <c r="G28" s="64"/>
      <c r="H28" s="48">
        <f t="shared" si="8"/>
        <v>0</v>
      </c>
      <c r="I28" s="64"/>
      <c r="J28" s="64"/>
      <c r="K28" s="49">
        <f t="shared" si="7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>
      <c r="A29" s="38"/>
      <c r="B29" s="39"/>
      <c r="C29" s="103" t="s">
        <v>149</v>
      </c>
      <c r="D29" s="24" t="s">
        <v>150</v>
      </c>
      <c r="E29" s="121">
        <f>E26*5</f>
        <v>10420</v>
      </c>
      <c r="F29" s="67"/>
      <c r="G29" s="64"/>
      <c r="H29" s="48">
        <f t="shared" si="8"/>
        <v>0</v>
      </c>
      <c r="I29" s="64"/>
      <c r="J29" s="64"/>
      <c r="K29" s="49">
        <f t="shared" si="7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>
      <c r="A30" s="38"/>
      <c r="B30" s="39"/>
      <c r="C30" s="103" t="s">
        <v>151</v>
      </c>
      <c r="D30" s="24" t="s">
        <v>57</v>
      </c>
      <c r="E30" s="120">
        <v>150</v>
      </c>
      <c r="F30" s="67"/>
      <c r="G30" s="64"/>
      <c r="H30" s="48">
        <f t="shared" si="8"/>
        <v>0</v>
      </c>
      <c r="I30" s="64"/>
      <c r="J30" s="64"/>
      <c r="K30" s="49">
        <f t="shared" si="7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0.399999999999999">
      <c r="A31" s="38">
        <v>7</v>
      </c>
      <c r="B31" s="39" t="s">
        <v>119</v>
      </c>
      <c r="C31" s="104" t="s">
        <v>152</v>
      </c>
      <c r="D31" s="24" t="s">
        <v>121</v>
      </c>
      <c r="E31" s="120">
        <f>14.8*(0.95*2+0.38)*31+14.8*5*(0.25*2+0.38)</f>
        <v>1111.18</v>
      </c>
      <c r="F31" s="67"/>
      <c r="G31" s="64"/>
      <c r="H31" s="48">
        <f>ROUND(G31*F31,2)</f>
        <v>0</v>
      </c>
      <c r="I31" s="64"/>
      <c r="J31" s="64"/>
      <c r="K31" s="49">
        <f t="shared" si="7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8.95" customHeight="1">
      <c r="A32" s="38"/>
      <c r="B32" s="39"/>
      <c r="C32" s="103" t="s">
        <v>153</v>
      </c>
      <c r="D32" s="24" t="s">
        <v>154</v>
      </c>
      <c r="E32" s="120">
        <f>E31*1.05</f>
        <v>1166.74</v>
      </c>
      <c r="F32" s="67"/>
      <c r="G32" s="64"/>
      <c r="H32" s="48"/>
      <c r="I32" s="64"/>
      <c r="J32" s="64"/>
      <c r="K32" s="49">
        <f t="shared" si="7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>
      <c r="A33" s="38"/>
      <c r="B33" s="39"/>
      <c r="C33" s="103" t="s">
        <v>126</v>
      </c>
      <c r="D33" s="24" t="s">
        <v>107</v>
      </c>
      <c r="E33" s="121">
        <f>E31*6</f>
        <v>6667</v>
      </c>
      <c r="F33" s="67"/>
      <c r="G33" s="64"/>
      <c r="H33" s="48">
        <f t="shared" si="8"/>
        <v>0</v>
      </c>
      <c r="I33" s="64"/>
      <c r="J33" s="64"/>
      <c r="K33" s="49">
        <f t="shared" si="7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30.6">
      <c r="A34" s="38">
        <v>8</v>
      </c>
      <c r="B34" s="39" t="s">
        <v>119</v>
      </c>
      <c r="C34" s="104" t="s">
        <v>345</v>
      </c>
      <c r="D34" s="24" t="s">
        <v>121</v>
      </c>
      <c r="E34" s="120">
        <f>(30*(2.15+2*1.45)+40*(3+1.45*2)+90*(1.75+2*1.15)+25*(3.1+2*2.5)+20*(2.86+2*1.45)+30*(3.1+2*2.5)+5*(3+2*2.5)+30*(3+2*2.5)+24*(2.36+2*0.88)+6*(2.36+2*0.8)+12*(2.86+2*0.5))*0.25</f>
        <v>440.42</v>
      </c>
      <c r="F34" s="67"/>
      <c r="G34" s="64"/>
      <c r="H34" s="48">
        <f>ROUND(G34*F34,2)</f>
        <v>0</v>
      </c>
      <c r="I34" s="64"/>
      <c r="J34" s="64"/>
      <c r="K34" s="49">
        <f t="shared" si="7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5.05" customHeight="1">
      <c r="A35" s="38"/>
      <c r="B35" s="39"/>
      <c r="C35" s="103" t="s">
        <v>153</v>
      </c>
      <c r="D35" s="24" t="s">
        <v>154</v>
      </c>
      <c r="E35" s="120">
        <f>E34*1.05</f>
        <v>462.44</v>
      </c>
      <c r="F35" s="67"/>
      <c r="G35" s="64"/>
      <c r="H35" s="48"/>
      <c r="I35" s="64"/>
      <c r="J35" s="64"/>
      <c r="K35" s="49">
        <f t="shared" si="7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>
      <c r="A36" s="38"/>
      <c r="B36" s="39"/>
      <c r="C36" s="103" t="s">
        <v>126</v>
      </c>
      <c r="D36" s="24" t="s">
        <v>107</v>
      </c>
      <c r="E36" s="121">
        <f>E34*6</f>
        <v>2643</v>
      </c>
      <c r="F36" s="67"/>
      <c r="G36" s="64"/>
      <c r="H36" s="48">
        <f t="shared" ref="H36" si="9">ROUND(F36*G36,2)</f>
        <v>0</v>
      </c>
      <c r="I36" s="64"/>
      <c r="J36" s="64"/>
      <c r="K36" s="49">
        <f t="shared" si="7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4" customHeight="1">
      <c r="A37" s="38">
        <v>9</v>
      </c>
      <c r="B37" s="39" t="s">
        <v>119</v>
      </c>
      <c r="C37" s="104" t="s">
        <v>155</v>
      </c>
      <c r="D37" s="24" t="s">
        <v>121</v>
      </c>
      <c r="E37" s="120">
        <f>E26+E31+E34</f>
        <v>3635.6</v>
      </c>
      <c r="F37" s="67"/>
      <c r="G37" s="64"/>
      <c r="H37" s="48">
        <f>ROUND(G37*F37,2)</f>
        <v>0</v>
      </c>
      <c r="I37" s="64"/>
      <c r="J37" s="64"/>
      <c r="K37" s="49">
        <f t="shared" si="7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0.399999999999999">
      <c r="A38" s="38"/>
      <c r="B38" s="39"/>
      <c r="C38" s="103" t="s">
        <v>156</v>
      </c>
      <c r="D38" s="24" t="s">
        <v>121</v>
      </c>
      <c r="E38" s="120">
        <f>E37*1.15</f>
        <v>4180.9399999999996</v>
      </c>
      <c r="F38" s="67"/>
      <c r="G38" s="64"/>
      <c r="H38" s="48"/>
      <c r="I38" s="64"/>
      <c r="J38" s="64"/>
      <c r="K38" s="49">
        <f t="shared" si="7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>
      <c r="A39" s="38"/>
      <c r="B39" s="39"/>
      <c r="C39" s="103" t="s">
        <v>126</v>
      </c>
      <c r="D39" s="24" t="s">
        <v>107</v>
      </c>
      <c r="E39" s="121">
        <f>E37*6</f>
        <v>21814</v>
      </c>
      <c r="F39" s="67"/>
      <c r="G39" s="64"/>
      <c r="H39" s="48"/>
      <c r="I39" s="64"/>
      <c r="J39" s="64"/>
      <c r="K39" s="49">
        <f t="shared" si="7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>
      <c r="A40" s="38"/>
      <c r="B40" s="39"/>
      <c r="C40" s="103" t="s">
        <v>127</v>
      </c>
      <c r="D40" s="24" t="s">
        <v>57</v>
      </c>
      <c r="E40" s="121">
        <f>14.8*4*31+14.8*5*4+30*(2.15+2*1.45)+40*(3+1.45*2)+90*(1.75+2*1.15)+25*(3.1+2*2.5)+20*(2.86+2*1.45)+30*(3.1+2*2.5)+5*(3+2*2.5)+30*(3+2*2.5)+24*(2.36+2*0.88)+6*(2.36+2*0.8)+12*(2.86+2*0.5)</f>
        <v>3893</v>
      </c>
      <c r="F40" s="67"/>
      <c r="G40" s="64"/>
      <c r="H40" s="48"/>
      <c r="I40" s="64"/>
      <c r="J40" s="64"/>
      <c r="K40" s="49">
        <f t="shared" si="7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0.399999999999999">
      <c r="A41" s="38">
        <v>10</v>
      </c>
      <c r="B41" s="39" t="s">
        <v>119</v>
      </c>
      <c r="C41" s="104" t="s">
        <v>157</v>
      </c>
      <c r="D41" s="24" t="s">
        <v>121</v>
      </c>
      <c r="E41" s="120">
        <f>E37</f>
        <v>3635.6</v>
      </c>
      <c r="F41" s="67"/>
      <c r="G41" s="64"/>
      <c r="H41" s="48">
        <f>ROUND(G41*F41,2)</f>
        <v>0</v>
      </c>
      <c r="I41" s="64"/>
      <c r="J41" s="64"/>
      <c r="K41" s="49">
        <f t="shared" si="7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0.399999999999999">
      <c r="A42" s="38"/>
      <c r="B42" s="39"/>
      <c r="C42" s="103" t="s">
        <v>122</v>
      </c>
      <c r="D42" s="24" t="s">
        <v>107</v>
      </c>
      <c r="E42" s="121">
        <f>E41*0.2</f>
        <v>727</v>
      </c>
      <c r="F42" s="67"/>
      <c r="G42" s="64"/>
      <c r="H42" s="48">
        <f t="shared" si="8"/>
        <v>0</v>
      </c>
      <c r="I42" s="64"/>
      <c r="J42" s="64"/>
      <c r="K42" s="49">
        <f t="shared" si="7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0.399999999999999">
      <c r="A43" s="38"/>
      <c r="B43" s="39"/>
      <c r="C43" s="103" t="s">
        <v>158</v>
      </c>
      <c r="D43" s="24" t="s">
        <v>107</v>
      </c>
      <c r="E43" s="121">
        <f>E41*4</f>
        <v>14542</v>
      </c>
      <c r="F43" s="67"/>
      <c r="G43" s="64"/>
      <c r="H43" s="48">
        <f t="shared" si="8"/>
        <v>0</v>
      </c>
      <c r="I43" s="64"/>
      <c r="J43" s="64"/>
      <c r="K43" s="49">
        <f t="shared" si="7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0.399999999999999">
      <c r="A44" s="38">
        <v>11</v>
      </c>
      <c r="B44" s="39" t="s">
        <v>119</v>
      </c>
      <c r="C44" s="104" t="s">
        <v>159</v>
      </c>
      <c r="D44" s="24" t="s">
        <v>121</v>
      </c>
      <c r="E44" s="120">
        <f>SUM(E41)</f>
        <v>3635.6</v>
      </c>
      <c r="F44" s="67"/>
      <c r="G44" s="64"/>
      <c r="H44" s="48">
        <f>ROUND(G44*F44,2)</f>
        <v>0</v>
      </c>
      <c r="I44" s="64"/>
      <c r="J44" s="64"/>
      <c r="K44" s="49">
        <f t="shared" si="7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>
      <c r="A45" s="38"/>
      <c r="B45" s="39"/>
      <c r="C45" s="103" t="s">
        <v>133</v>
      </c>
      <c r="D45" s="24" t="s">
        <v>107</v>
      </c>
      <c r="E45" s="121">
        <f>E44*0.18</f>
        <v>654</v>
      </c>
      <c r="F45" s="67"/>
      <c r="G45" s="64"/>
      <c r="H45" s="48">
        <f t="shared" si="8"/>
        <v>0</v>
      </c>
      <c r="I45" s="64"/>
      <c r="J45" s="64"/>
      <c r="K45" s="49">
        <f t="shared" si="7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0.399999999999999">
      <c r="A46" s="38"/>
      <c r="B46" s="39"/>
      <c r="C46" s="103" t="s">
        <v>134</v>
      </c>
      <c r="D46" s="24" t="s">
        <v>107</v>
      </c>
      <c r="E46" s="121">
        <f>E44*0.3</f>
        <v>1091</v>
      </c>
      <c r="F46" s="67"/>
      <c r="G46" s="64"/>
      <c r="H46" s="48">
        <f t="shared" si="8"/>
        <v>0</v>
      </c>
      <c r="I46" s="64"/>
      <c r="J46" s="64"/>
      <c r="K46" s="49">
        <f t="shared" si="7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0.399999999999999">
      <c r="A47" s="38">
        <v>12</v>
      </c>
      <c r="B47" s="39"/>
      <c r="C47" s="104" t="s">
        <v>160</v>
      </c>
      <c r="D47" s="24" t="s">
        <v>57</v>
      </c>
      <c r="E47" s="120">
        <f>SUM(E17)</f>
        <v>1280</v>
      </c>
      <c r="F47" s="67"/>
      <c r="G47" s="64"/>
      <c r="H47" s="48">
        <f>ROUND(G47*F47,2)</f>
        <v>0</v>
      </c>
      <c r="I47" s="64"/>
      <c r="J47" s="64"/>
      <c r="K47" s="49">
        <f t="shared" ref="K47" si="10">SUM(H47:J47)</f>
        <v>0</v>
      </c>
      <c r="L47" s="50">
        <f t="shared" ref="L47" si="11">ROUND(E47*F47,2)</f>
        <v>0</v>
      </c>
      <c r="M47" s="48">
        <f t="shared" ref="M47" si="12">ROUND(H47*E47,2)</f>
        <v>0</v>
      </c>
      <c r="N47" s="48">
        <f t="shared" ref="N47" si="13">ROUND(I47*E47,2)</f>
        <v>0</v>
      </c>
      <c r="O47" s="48">
        <f t="shared" ref="O47" si="14">ROUND(J47*E47,2)</f>
        <v>0</v>
      </c>
      <c r="P47" s="49">
        <f t="shared" ref="P47" si="15">SUM(M47:O47)</f>
        <v>0</v>
      </c>
    </row>
    <row r="48" spans="1:16">
      <c r="A48" s="38"/>
      <c r="B48" s="39"/>
      <c r="C48" s="94" t="s">
        <v>362</v>
      </c>
      <c r="D48" s="24"/>
      <c r="E48" s="106"/>
      <c r="F48" s="67"/>
      <c r="G48" s="64"/>
      <c r="H48" s="48"/>
      <c r="I48" s="64"/>
      <c r="J48" s="64">
        <f t="shared" ref="J48:J50" si="16">ROUND(H48*6%,2)</f>
        <v>0</v>
      </c>
      <c r="K48" s="49">
        <f t="shared" ref="K48:K54" si="17">SUM(H48:J48)</f>
        <v>0</v>
      </c>
      <c r="L48" s="50">
        <f t="shared" ref="L48:L50" si="18">ROUND(E48*F48,2)</f>
        <v>0</v>
      </c>
      <c r="M48" s="48">
        <f t="shared" ref="M48:M50" si="19">ROUND(H48*E48,2)</f>
        <v>0</v>
      </c>
      <c r="N48" s="48">
        <f t="shared" ref="N48:N50" si="20">ROUND(I48*E48,2)</f>
        <v>0</v>
      </c>
      <c r="O48" s="48">
        <f t="shared" ref="O48:O50" si="21">ROUND(J48*E48,2)</f>
        <v>0</v>
      </c>
      <c r="P48" s="49">
        <f t="shared" ref="P48:P50" si="22">SUM(M48:O48)</f>
        <v>0</v>
      </c>
    </row>
    <row r="49" spans="1:16" ht="20.399999999999999">
      <c r="A49" s="38">
        <v>13</v>
      </c>
      <c r="B49" s="39" t="s">
        <v>79</v>
      </c>
      <c r="C49" s="104" t="s">
        <v>363</v>
      </c>
      <c r="D49" s="24" t="s">
        <v>81</v>
      </c>
      <c r="E49" s="117">
        <f>18*5*6.1</f>
        <v>549</v>
      </c>
      <c r="F49" s="67"/>
      <c r="G49" s="64"/>
      <c r="H49" s="48">
        <f>F49*G49</f>
        <v>0</v>
      </c>
      <c r="I49" s="64"/>
      <c r="J49" s="64">
        <f t="shared" si="16"/>
        <v>0</v>
      </c>
      <c r="K49" s="49">
        <f t="shared" si="17"/>
        <v>0</v>
      </c>
      <c r="L49" s="50">
        <f t="shared" si="18"/>
        <v>0</v>
      </c>
      <c r="M49" s="48">
        <f t="shared" si="19"/>
        <v>0</v>
      </c>
      <c r="N49" s="48">
        <f t="shared" si="20"/>
        <v>0</v>
      </c>
      <c r="O49" s="48">
        <f t="shared" si="21"/>
        <v>0</v>
      </c>
      <c r="P49" s="49">
        <f t="shared" si="22"/>
        <v>0</v>
      </c>
    </row>
    <row r="50" spans="1:16" ht="30.6">
      <c r="A50" s="38">
        <v>14</v>
      </c>
      <c r="B50" s="39" t="s">
        <v>119</v>
      </c>
      <c r="C50" s="104" t="s">
        <v>364</v>
      </c>
      <c r="D50" s="24" t="s">
        <v>81</v>
      </c>
      <c r="E50" s="117">
        <f>18*5*6.1</f>
        <v>549</v>
      </c>
      <c r="F50" s="67"/>
      <c r="G50" s="64"/>
      <c r="H50" s="48">
        <f>ROUND(G50*F50,2)</f>
        <v>0</v>
      </c>
      <c r="I50" s="64"/>
      <c r="J50" s="64">
        <f t="shared" si="16"/>
        <v>0</v>
      </c>
      <c r="K50" s="49">
        <f t="shared" si="17"/>
        <v>0</v>
      </c>
      <c r="L50" s="50">
        <f t="shared" si="18"/>
        <v>0</v>
      </c>
      <c r="M50" s="48">
        <f t="shared" si="19"/>
        <v>0</v>
      </c>
      <c r="N50" s="48">
        <f t="shared" si="20"/>
        <v>0</v>
      </c>
      <c r="O50" s="48">
        <f t="shared" si="21"/>
        <v>0</v>
      </c>
      <c r="P50" s="49">
        <f t="shared" si="22"/>
        <v>0</v>
      </c>
    </row>
    <row r="51" spans="1:16" ht="20.399999999999999">
      <c r="A51" s="38"/>
      <c r="B51" s="39"/>
      <c r="C51" s="104" t="s">
        <v>367</v>
      </c>
      <c r="D51" s="24" t="s">
        <v>212</v>
      </c>
      <c r="E51" s="117">
        <f>E50*0.2*0.2</f>
        <v>21.96</v>
      </c>
      <c r="F51" s="67"/>
      <c r="G51" s="64"/>
      <c r="H51" s="48"/>
      <c r="I51" s="64"/>
      <c r="J51" s="64"/>
      <c r="K51" s="49">
        <f t="shared" si="17"/>
        <v>0</v>
      </c>
      <c r="L51" s="50">
        <f t="shared" ref="L51:L54" si="23">ROUND(E51*F51,2)</f>
        <v>0</v>
      </c>
      <c r="M51" s="48">
        <f t="shared" ref="M51:M54" si="24">ROUND(H51*E51,2)</f>
        <v>0</v>
      </c>
      <c r="N51" s="48">
        <f t="shared" ref="N51:N54" si="25">ROUND(I51*E51,2)</f>
        <v>0</v>
      </c>
      <c r="O51" s="48">
        <f t="shared" ref="O51:O54" si="26">ROUND(J51*E51,2)</f>
        <v>0</v>
      </c>
      <c r="P51" s="49">
        <f t="shared" ref="P51:P54" si="27">SUM(M51:O51)</f>
        <v>0</v>
      </c>
    </row>
    <row r="52" spans="1:16" ht="20.399999999999999">
      <c r="A52" s="38"/>
      <c r="B52" s="39"/>
      <c r="C52" s="104" t="s">
        <v>365</v>
      </c>
      <c r="D52" s="24" t="s">
        <v>212</v>
      </c>
      <c r="E52" s="117">
        <f>E50*0.2*0.25</f>
        <v>27.45</v>
      </c>
      <c r="F52" s="67"/>
      <c r="G52" s="64"/>
      <c r="H52" s="48"/>
      <c r="I52" s="64"/>
      <c r="J52" s="64"/>
      <c r="K52" s="49">
        <f t="shared" si="17"/>
        <v>0</v>
      </c>
      <c r="L52" s="50">
        <f t="shared" si="23"/>
        <v>0</v>
      </c>
      <c r="M52" s="48">
        <f t="shared" si="24"/>
        <v>0</v>
      </c>
      <c r="N52" s="48">
        <f t="shared" si="25"/>
        <v>0</v>
      </c>
      <c r="O52" s="48">
        <f t="shared" si="26"/>
        <v>0</v>
      </c>
      <c r="P52" s="49">
        <f t="shared" si="27"/>
        <v>0</v>
      </c>
    </row>
    <row r="53" spans="1:16" ht="20.399999999999999">
      <c r="A53" s="38"/>
      <c r="B53" s="39"/>
      <c r="C53" s="104" t="s">
        <v>366</v>
      </c>
      <c r="D53" s="24" t="s">
        <v>81</v>
      </c>
      <c r="E53" s="117">
        <f>E50*1.15</f>
        <v>631.35</v>
      </c>
      <c r="F53" s="67"/>
      <c r="G53" s="64"/>
      <c r="H53" s="48"/>
      <c r="I53" s="64"/>
      <c r="J53" s="64"/>
      <c r="K53" s="49">
        <f t="shared" si="17"/>
        <v>0</v>
      </c>
      <c r="L53" s="50">
        <f t="shared" si="23"/>
        <v>0</v>
      </c>
      <c r="M53" s="48">
        <f t="shared" si="24"/>
        <v>0</v>
      </c>
      <c r="N53" s="48">
        <f t="shared" si="25"/>
        <v>0</v>
      </c>
      <c r="O53" s="48">
        <f t="shared" si="26"/>
        <v>0</v>
      </c>
      <c r="P53" s="49">
        <f t="shared" si="27"/>
        <v>0</v>
      </c>
    </row>
    <row r="54" spans="1:16" ht="10.8" thickBot="1">
      <c r="A54" s="38"/>
      <c r="B54" s="39"/>
      <c r="C54" s="104" t="s">
        <v>368</v>
      </c>
      <c r="D54" s="24" t="s">
        <v>101</v>
      </c>
      <c r="E54" s="116">
        <v>1</v>
      </c>
      <c r="F54" s="67"/>
      <c r="G54" s="64"/>
      <c r="H54" s="48"/>
      <c r="I54" s="64"/>
      <c r="J54" s="64"/>
      <c r="K54" s="49">
        <f t="shared" si="17"/>
        <v>0</v>
      </c>
      <c r="L54" s="50">
        <f t="shared" si="23"/>
        <v>0</v>
      </c>
      <c r="M54" s="48">
        <f t="shared" si="24"/>
        <v>0</v>
      </c>
      <c r="N54" s="48">
        <f t="shared" si="25"/>
        <v>0</v>
      </c>
      <c r="O54" s="48">
        <f t="shared" si="26"/>
        <v>0</v>
      </c>
      <c r="P54" s="49">
        <f t="shared" si="27"/>
        <v>0</v>
      </c>
    </row>
    <row r="55" spans="1:16" ht="10.8" thickBot="1">
      <c r="A55" s="176" t="s">
        <v>76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8"/>
      <c r="L55" s="68">
        <f>SUM(L14:L54)</f>
        <v>0</v>
      </c>
      <c r="M55" s="69">
        <f>SUM(M14:M54)</f>
        <v>0</v>
      </c>
      <c r="N55" s="69">
        <f>SUM(N14:N54)</f>
        <v>0</v>
      </c>
      <c r="O55" s="69">
        <f>SUM(O14:O54)</f>
        <v>0</v>
      </c>
      <c r="P55" s="70">
        <f>SUM(P14:P54)</f>
        <v>0</v>
      </c>
    </row>
    <row r="56" spans="1:16">
      <c r="A56" s="17"/>
      <c r="B56" s="17"/>
      <c r="C56" s="17"/>
      <c r="D56" s="17"/>
      <c r="E56" s="113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17"/>
      <c r="B57" s="17"/>
      <c r="C57" s="17"/>
      <c r="D57" s="17"/>
      <c r="E57" s="113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" t="s">
        <v>14</v>
      </c>
      <c r="B58" s="17"/>
      <c r="C58" s="175">
        <f>'Kops a'!C33:H33</f>
        <v>0</v>
      </c>
      <c r="D58" s="175"/>
      <c r="E58" s="175"/>
      <c r="F58" s="175"/>
      <c r="G58" s="175"/>
      <c r="H58" s="175"/>
      <c r="I58" s="17"/>
      <c r="J58" s="17"/>
      <c r="K58" s="17"/>
      <c r="L58" s="17"/>
      <c r="M58" s="17"/>
      <c r="N58" s="17"/>
      <c r="O58" s="17"/>
      <c r="P58" s="17"/>
    </row>
    <row r="59" spans="1:16">
      <c r="A59" s="17"/>
      <c r="B59" s="17"/>
      <c r="C59" s="125" t="s">
        <v>15</v>
      </c>
      <c r="D59" s="125"/>
      <c r="E59" s="125"/>
      <c r="F59" s="125"/>
      <c r="G59" s="125"/>
      <c r="H59" s="125"/>
      <c r="I59" s="17"/>
      <c r="J59" s="17"/>
      <c r="K59" s="17"/>
      <c r="L59" s="17"/>
      <c r="M59" s="17"/>
      <c r="N59" s="17"/>
      <c r="O59" s="17"/>
      <c r="P59" s="17"/>
    </row>
    <row r="60" spans="1:16">
      <c r="A60" s="17"/>
      <c r="B60" s="17"/>
      <c r="C60" s="17"/>
      <c r="D60" s="17"/>
      <c r="E60" s="113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87" t="str">
        <f>'Kops a'!A36</f>
        <v>Tāme sastādīta</v>
      </c>
      <c r="B61" s="88"/>
      <c r="C61" s="88"/>
      <c r="D61" s="88"/>
      <c r="E61" s="113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17"/>
      <c r="B62" s="17"/>
      <c r="C62" s="17"/>
      <c r="D62" s="17"/>
      <c r="E62" s="113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1" t="s">
        <v>37</v>
      </c>
      <c r="B63" s="17"/>
      <c r="C63" s="175">
        <f>'Kops a'!C38:H38</f>
        <v>0</v>
      </c>
      <c r="D63" s="175"/>
      <c r="E63" s="175"/>
      <c r="F63" s="175"/>
      <c r="G63" s="175"/>
      <c r="H63" s="175"/>
      <c r="I63" s="17"/>
      <c r="J63" s="17"/>
      <c r="K63" s="17"/>
      <c r="L63" s="17"/>
      <c r="M63" s="17"/>
      <c r="N63" s="17"/>
      <c r="O63" s="17"/>
      <c r="P63" s="17"/>
    </row>
    <row r="64" spans="1:16">
      <c r="A64" s="17"/>
      <c r="B64" s="17"/>
      <c r="C64" s="125" t="s">
        <v>15</v>
      </c>
      <c r="D64" s="125"/>
      <c r="E64" s="125"/>
      <c r="F64" s="125"/>
      <c r="G64" s="125"/>
      <c r="H64" s="125"/>
      <c r="I64" s="17"/>
      <c r="J64" s="17"/>
      <c r="K64" s="17"/>
      <c r="L64" s="17"/>
      <c r="M64" s="17"/>
      <c r="N64" s="17"/>
      <c r="O64" s="17"/>
      <c r="P64" s="17"/>
    </row>
    <row r="65" spans="1:16">
      <c r="A65" s="17"/>
      <c r="B65" s="17"/>
      <c r="C65" s="17"/>
      <c r="D65" s="17"/>
      <c r="E65" s="11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87" t="s">
        <v>54</v>
      </c>
      <c r="B66" s="88"/>
      <c r="C66" s="92">
        <f>'Kops a'!C41</f>
        <v>0</v>
      </c>
      <c r="D66" s="51"/>
      <c r="E66" s="1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7"/>
      <c r="B67" s="17"/>
      <c r="C67" s="17"/>
      <c r="D67" s="17"/>
      <c r="E67" s="1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</sheetData>
  <mergeCells count="22">
    <mergeCell ref="N9:O9"/>
    <mergeCell ref="L12:P12"/>
    <mergeCell ref="A9:I9"/>
    <mergeCell ref="C2:I2"/>
    <mergeCell ref="C3:I3"/>
    <mergeCell ref="D5:L5"/>
    <mergeCell ref="D6:L6"/>
    <mergeCell ref="D7:L7"/>
    <mergeCell ref="C64:H64"/>
    <mergeCell ref="C4:I4"/>
    <mergeCell ref="F12:K12"/>
    <mergeCell ref="J9:M9"/>
    <mergeCell ref="D8:L8"/>
    <mergeCell ref="A55:K55"/>
    <mergeCell ref="C58:H58"/>
    <mergeCell ref="C59:H59"/>
    <mergeCell ref="C63:H63"/>
    <mergeCell ref="A12:A13"/>
    <mergeCell ref="B12:B13"/>
    <mergeCell ref="C12:C13"/>
    <mergeCell ref="D12:D13"/>
    <mergeCell ref="E12:E13"/>
  </mergeCells>
  <conditionalFormatting sqref="N9:O9 L55:P55">
    <cfRule type="cellIs" dxfId="168" priority="61" operator="equal">
      <formula>0</formula>
    </cfRule>
  </conditionalFormatting>
  <conditionalFormatting sqref="C2:I2">
    <cfRule type="cellIs" dxfId="167" priority="58" operator="equal">
      <formula>0</formula>
    </cfRule>
  </conditionalFormatting>
  <conditionalFormatting sqref="O10">
    <cfRule type="cellIs" dxfId="166" priority="57" operator="equal">
      <formula>"20__. gada __. _________"</formula>
    </cfRule>
  </conditionalFormatting>
  <conditionalFormatting sqref="A55:K55">
    <cfRule type="containsText" dxfId="165" priority="56" operator="containsText" text="Tiešās izmaksas kopā, t. sk. darba devēja sociālais nodoklis __.__% ">
      <formula>NOT(ISERROR(SEARCH("Tiešās izmaksas kopā, t. sk. darba devēja sociālais nodoklis __.__% ",A55)))</formula>
    </cfRule>
  </conditionalFormatting>
  <conditionalFormatting sqref="L19:P46">
    <cfRule type="cellIs" dxfId="164" priority="51" operator="equal">
      <formula>0</formula>
    </cfRule>
  </conditionalFormatting>
  <conditionalFormatting sqref="C4:I4">
    <cfRule type="cellIs" dxfId="163" priority="50" operator="equal">
      <formula>0</formula>
    </cfRule>
  </conditionalFormatting>
  <conditionalFormatting sqref="D5:L8">
    <cfRule type="cellIs" dxfId="162" priority="47" operator="equal">
      <formula>0</formula>
    </cfRule>
  </conditionalFormatting>
  <conditionalFormatting sqref="P10">
    <cfRule type="cellIs" dxfId="161" priority="43" operator="equal">
      <formula>"20__. gada __. _________"</formula>
    </cfRule>
  </conditionalFormatting>
  <conditionalFormatting sqref="C63:H63">
    <cfRule type="cellIs" dxfId="160" priority="40" operator="equal">
      <formula>0</formula>
    </cfRule>
  </conditionalFormatting>
  <conditionalFormatting sqref="C58:H58">
    <cfRule type="cellIs" dxfId="159" priority="39" operator="equal">
      <formula>0</formula>
    </cfRule>
  </conditionalFormatting>
  <conditionalFormatting sqref="C63:H63 C66 C58:H58">
    <cfRule type="cellIs" dxfId="158" priority="38" operator="equal">
      <formula>0</formula>
    </cfRule>
  </conditionalFormatting>
  <conditionalFormatting sqref="D1">
    <cfRule type="cellIs" dxfId="157" priority="37" operator="equal">
      <formula>0</formula>
    </cfRule>
  </conditionalFormatting>
  <conditionalFormatting sqref="A14:B46 D14:E46">
    <cfRule type="cellIs" dxfId="156" priority="36" operator="equal">
      <formula>0</formula>
    </cfRule>
  </conditionalFormatting>
  <conditionalFormatting sqref="C14:C46">
    <cfRule type="cellIs" dxfId="155" priority="35" operator="equal">
      <formula>0</formula>
    </cfRule>
  </conditionalFormatting>
  <conditionalFormatting sqref="I14:J46 F14:G46">
    <cfRule type="cellIs" dxfId="154" priority="16" operator="equal">
      <formula>0</formula>
    </cfRule>
  </conditionalFormatting>
  <conditionalFormatting sqref="L14:P18">
    <cfRule type="cellIs" dxfId="153" priority="30" operator="equal">
      <formula>0</formula>
    </cfRule>
  </conditionalFormatting>
  <conditionalFormatting sqref="K14:K46 H14:H46">
    <cfRule type="cellIs" dxfId="152" priority="15" operator="equal">
      <formula>0</formula>
    </cfRule>
  </conditionalFormatting>
  <conditionalFormatting sqref="A9">
    <cfRule type="containsText" dxfId="151" priority="1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L47:P49">
    <cfRule type="cellIs" dxfId="150" priority="13" operator="equal">
      <formula>0</formula>
    </cfRule>
  </conditionalFormatting>
  <conditionalFormatting sqref="D47:E48 A47:B48 A49 D49 D51:D54 A51:A54">
    <cfRule type="cellIs" dxfId="149" priority="12" operator="equal">
      <formula>0</formula>
    </cfRule>
  </conditionalFormatting>
  <conditionalFormatting sqref="C47:C49 C51:C54">
    <cfRule type="cellIs" dxfId="148" priority="11" operator="equal">
      <formula>0</formula>
    </cfRule>
  </conditionalFormatting>
  <conditionalFormatting sqref="F47:G49 I47:J49 E49 I51:J54 E51:G54">
    <cfRule type="cellIs" dxfId="147" priority="10" operator="equal">
      <formula>0</formula>
    </cfRule>
  </conditionalFormatting>
  <conditionalFormatting sqref="H47:H49 K47:K49 H51:H54">
    <cfRule type="cellIs" dxfId="146" priority="9" operator="equal">
      <formula>0</formula>
    </cfRule>
  </conditionalFormatting>
  <conditionalFormatting sqref="B49 B51:B54">
    <cfRule type="cellIs" dxfId="145" priority="7" operator="equal">
      <formula>0</formula>
    </cfRule>
  </conditionalFormatting>
  <conditionalFormatting sqref="E50">
    <cfRule type="cellIs" dxfId="144" priority="1" operator="equal">
      <formula>0</formula>
    </cfRule>
  </conditionalFormatting>
  <conditionalFormatting sqref="L50:P54">
    <cfRule type="cellIs" dxfId="143" priority="6" operator="equal">
      <formula>0</formula>
    </cfRule>
  </conditionalFormatting>
  <conditionalFormatting sqref="D50 A50:B50">
    <cfRule type="cellIs" dxfId="142" priority="5" operator="equal">
      <formula>0</formula>
    </cfRule>
  </conditionalFormatting>
  <conditionalFormatting sqref="C50">
    <cfRule type="cellIs" dxfId="141" priority="4" operator="equal">
      <formula>0</formula>
    </cfRule>
  </conditionalFormatting>
  <conditionalFormatting sqref="F50:G50 I50:J50">
    <cfRule type="cellIs" dxfId="140" priority="3" operator="equal">
      <formula>0</formula>
    </cfRule>
  </conditionalFormatting>
  <conditionalFormatting sqref="H50 K50:K54">
    <cfRule type="cellIs" dxfId="139" priority="2" operator="equal">
      <formula>0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D422C369-7259-49E7-A89B-9D562DEE2E41}">
            <xm:f>NOT(ISERROR(SEARCH("Tāme sastādīta ____. gada ___. ______________",A61)))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41" operator="containsText" id="{D859E3E6-089F-4F16-889A-98EF63E5F3AC}">
            <xm:f>NOT(ISERROR(SEARCH("Sertifikāta Nr. _________________________________",A66)))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R71"/>
  <sheetViews>
    <sheetView zoomScaleNormal="100" workbookViewId="0">
      <selection activeCell="I50" sqref="I50:J58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4" style="1" customWidth="1"/>
    <col min="4" max="4" width="5.77734375" style="1" customWidth="1"/>
    <col min="5" max="5" width="6.33203125" style="114" customWidth="1"/>
    <col min="6" max="6" width="4.109375" style="1" customWidth="1"/>
    <col min="7" max="7" width="3.6640625" style="1" customWidth="1"/>
    <col min="8" max="8" width="5.44140625" style="1" customWidth="1"/>
    <col min="9" max="9" width="4.77734375" style="1" customWidth="1"/>
    <col min="10" max="10" width="5.33203125" style="1" customWidth="1"/>
    <col min="11" max="11" width="5.109375" style="1" customWidth="1"/>
    <col min="12" max="12" width="6.109375" style="1" customWidth="1"/>
    <col min="13" max="15" width="7.6640625" style="1" customWidth="1"/>
    <col min="16" max="16" width="9" style="1" customWidth="1"/>
    <col min="17" max="16384" width="9.109375" style="1"/>
  </cols>
  <sheetData>
    <row r="1" spans="1:18">
      <c r="A1" s="23"/>
      <c r="B1" s="23"/>
      <c r="C1" s="27" t="s">
        <v>38</v>
      </c>
      <c r="D1" s="52">
        <f>'Kops a'!A18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8">
      <c r="A2" s="29"/>
      <c r="B2" s="29"/>
      <c r="C2" s="180" t="s">
        <v>335</v>
      </c>
      <c r="D2" s="180"/>
      <c r="E2" s="180"/>
      <c r="F2" s="180"/>
      <c r="G2" s="180"/>
      <c r="H2" s="180"/>
      <c r="I2" s="180"/>
      <c r="J2" s="29"/>
    </row>
    <row r="3" spans="1:18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8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8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8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8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8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8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P59</f>
        <v>0</v>
      </c>
      <c r="O9" s="192"/>
      <c r="P9" s="31"/>
    </row>
    <row r="10" spans="1:18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A65</f>
        <v>Tāme sastādīta</v>
      </c>
    </row>
    <row r="11" spans="1:18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8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8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8" ht="20.399999999999999">
      <c r="A14" s="38">
        <v>1</v>
      </c>
      <c r="B14" s="39" t="s">
        <v>79</v>
      </c>
      <c r="C14" s="104" t="s">
        <v>161</v>
      </c>
      <c r="D14" s="24" t="s">
        <v>121</v>
      </c>
      <c r="E14" s="109">
        <v>100</v>
      </c>
      <c r="F14" s="67"/>
      <c r="G14" s="64"/>
      <c r="H14" s="48">
        <f t="shared" ref="H14:H18" si="0">ROUND(G14*F14,2)</f>
        <v>0</v>
      </c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  <c r="R14" s="21"/>
    </row>
    <row r="15" spans="1:18" ht="20.399999999999999">
      <c r="A15" s="38">
        <v>2</v>
      </c>
      <c r="B15" s="39" t="s">
        <v>140</v>
      </c>
      <c r="C15" s="104" t="s">
        <v>162</v>
      </c>
      <c r="D15" s="24" t="s">
        <v>163</v>
      </c>
      <c r="E15" s="109">
        <v>180</v>
      </c>
      <c r="F15" s="67"/>
      <c r="G15" s="64"/>
      <c r="H15" s="48">
        <f t="shared" si="0"/>
        <v>0</v>
      </c>
      <c r="I15" s="64"/>
      <c r="J15" s="64"/>
      <c r="K15" s="49">
        <f t="shared" ref="K15:K58" si="1">SUM(H15:J15)</f>
        <v>0</v>
      </c>
      <c r="L15" s="50">
        <f t="shared" ref="L15:L58" si="2">ROUND(E15*F15,2)</f>
        <v>0</v>
      </c>
      <c r="M15" s="48">
        <f t="shared" ref="M15:M58" si="3">ROUND(H15*E15,2)</f>
        <v>0</v>
      </c>
      <c r="N15" s="48">
        <f t="shared" ref="N15:N58" si="4">ROUND(I15*E15,2)</f>
        <v>0</v>
      </c>
      <c r="O15" s="48">
        <f t="shared" ref="O15:O58" si="5">ROUND(J15*E15,2)</f>
        <v>0</v>
      </c>
      <c r="P15" s="49">
        <f t="shared" ref="P15:P58" si="6">SUM(M15:O15)</f>
        <v>0</v>
      </c>
      <c r="R15" s="21"/>
    </row>
    <row r="16" spans="1:18" ht="20.399999999999999">
      <c r="A16" s="38">
        <f t="shared" ref="A16:A18" si="7">A15+1</f>
        <v>3</v>
      </c>
      <c r="B16" s="39" t="s">
        <v>140</v>
      </c>
      <c r="C16" s="104" t="s">
        <v>164</v>
      </c>
      <c r="D16" s="24" t="s">
        <v>121</v>
      </c>
      <c r="E16" s="109">
        <v>490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  <c r="R16" s="21"/>
    </row>
    <row r="17" spans="1:18" ht="20.399999999999999">
      <c r="A17" s="38">
        <f t="shared" si="7"/>
        <v>4</v>
      </c>
      <c r="B17" s="39" t="s">
        <v>140</v>
      </c>
      <c r="C17" s="104" t="s">
        <v>165</v>
      </c>
      <c r="D17" s="24" t="s">
        <v>121</v>
      </c>
      <c r="E17" s="109">
        <f>E16</f>
        <v>490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  <c r="R17" s="21"/>
    </row>
    <row r="18" spans="1:18" ht="30.6">
      <c r="A18" s="38">
        <f t="shared" si="7"/>
        <v>5</v>
      </c>
      <c r="B18" s="39" t="s">
        <v>83</v>
      </c>
      <c r="C18" s="104" t="s">
        <v>166</v>
      </c>
      <c r="D18" s="24" t="s">
        <v>167</v>
      </c>
      <c r="E18" s="109">
        <v>490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  <c r="R18" s="21"/>
    </row>
    <row r="19" spans="1:18" ht="30.6">
      <c r="A19" s="38"/>
      <c r="B19" s="39"/>
      <c r="C19" s="103" t="s">
        <v>346</v>
      </c>
      <c r="D19" s="24" t="s">
        <v>167</v>
      </c>
      <c r="E19" s="109">
        <f>E18*1.1</f>
        <v>539</v>
      </c>
      <c r="F19" s="67"/>
      <c r="G19" s="64"/>
      <c r="H19" s="48">
        <f t="shared" ref="H19:H20" si="8"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  <c r="R19" s="21"/>
    </row>
    <row r="20" spans="1:18" ht="20.399999999999999">
      <c r="A20" s="38"/>
      <c r="B20" s="39"/>
      <c r="C20" s="103" t="s">
        <v>168</v>
      </c>
      <c r="D20" s="24" t="s">
        <v>107</v>
      </c>
      <c r="E20" s="109">
        <f>ROUND(E18*3,0)</f>
        <v>1470</v>
      </c>
      <c r="F20" s="67"/>
      <c r="G20" s="64"/>
      <c r="H20" s="48">
        <f t="shared" si="8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  <c r="R20" s="21"/>
    </row>
    <row r="21" spans="1:18" ht="20.399999999999999">
      <c r="A21" s="38">
        <v>6</v>
      </c>
      <c r="B21" s="39" t="s">
        <v>119</v>
      </c>
      <c r="C21" s="104" t="s">
        <v>169</v>
      </c>
      <c r="D21" s="24" t="s">
        <v>167</v>
      </c>
      <c r="E21" s="109">
        <v>240</v>
      </c>
      <c r="F21" s="67"/>
      <c r="G21" s="64"/>
      <c r="H21" s="48">
        <f>ROUND(G21*F21,2)</f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  <c r="R21" s="21"/>
    </row>
    <row r="22" spans="1:18" ht="15.6">
      <c r="A22" s="38"/>
      <c r="B22" s="39"/>
      <c r="C22" s="103" t="s">
        <v>125</v>
      </c>
      <c r="D22" s="24" t="s">
        <v>154</v>
      </c>
      <c r="E22" s="109">
        <f>E21*1.15</f>
        <v>276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  <c r="R22" s="21"/>
    </row>
    <row r="23" spans="1:18">
      <c r="A23" s="38"/>
      <c r="B23" s="39"/>
      <c r="C23" s="103" t="s">
        <v>126</v>
      </c>
      <c r="D23" s="24" t="s">
        <v>107</v>
      </c>
      <c r="E23" s="109">
        <f>SUM(E21)*6</f>
        <v>1440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  <c r="R23" s="21"/>
    </row>
    <row r="24" spans="1:18">
      <c r="A24" s="38"/>
      <c r="B24" s="39"/>
      <c r="C24" s="103" t="s">
        <v>127</v>
      </c>
      <c r="D24" s="24" t="s">
        <v>57</v>
      </c>
      <c r="E24" s="109">
        <v>20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  <c r="R24" s="21"/>
    </row>
    <row r="25" spans="1:18" ht="20.399999999999999">
      <c r="A25" s="38">
        <f>A21+1</f>
        <v>7</v>
      </c>
      <c r="B25" s="39" t="s">
        <v>119</v>
      </c>
      <c r="C25" s="104" t="s">
        <v>170</v>
      </c>
      <c r="D25" s="24" t="s">
        <v>121</v>
      </c>
      <c r="E25" s="109">
        <v>240</v>
      </c>
      <c r="F25" s="67"/>
      <c r="G25" s="64"/>
      <c r="H25" s="48">
        <f>ROUND(G25*F25,2)</f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  <c r="R25" s="21"/>
    </row>
    <row r="26" spans="1:18">
      <c r="A26" s="38"/>
      <c r="B26" s="39"/>
      <c r="C26" s="103" t="s">
        <v>122</v>
      </c>
      <c r="D26" s="24" t="s">
        <v>107</v>
      </c>
      <c r="E26" s="110">
        <f>E25*0.18</f>
        <v>43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  <c r="R26" s="21"/>
    </row>
    <row r="27" spans="1:18">
      <c r="A27" s="38"/>
      <c r="B27" s="39"/>
      <c r="C27" s="103" t="s">
        <v>130</v>
      </c>
      <c r="D27" s="24" t="s">
        <v>107</v>
      </c>
      <c r="E27" s="110">
        <f>E25*1.8*2.5</f>
        <v>1080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  <c r="R27" s="21"/>
    </row>
    <row r="28" spans="1:18" ht="20.399999999999999">
      <c r="A28" s="38">
        <f>A25+1</f>
        <v>8</v>
      </c>
      <c r="B28" s="39" t="s">
        <v>119</v>
      </c>
      <c r="C28" s="104" t="s">
        <v>171</v>
      </c>
      <c r="D28" s="24" t="s">
        <v>121</v>
      </c>
      <c r="E28" s="109">
        <f>E25</f>
        <v>240</v>
      </c>
      <c r="F28" s="67"/>
      <c r="G28" s="64"/>
      <c r="H28" s="48">
        <f>ROUND(G28*F28,2)</f>
        <v>0</v>
      </c>
      <c r="I28" s="64"/>
      <c r="J28" s="64">
        <f>ROUND(H28*6%,2)</f>
        <v>0</v>
      </c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  <c r="R28" s="21"/>
    </row>
    <row r="29" spans="1:18">
      <c r="A29" s="38"/>
      <c r="B29" s="39"/>
      <c r="C29" s="103" t="s">
        <v>133</v>
      </c>
      <c r="D29" s="24" t="s">
        <v>107</v>
      </c>
      <c r="E29" s="110">
        <f>E28*0.18</f>
        <v>43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  <c r="R29" s="21"/>
    </row>
    <row r="30" spans="1:18" ht="20.399999999999999">
      <c r="A30" s="38"/>
      <c r="B30" s="39"/>
      <c r="C30" s="103" t="s">
        <v>134</v>
      </c>
      <c r="D30" s="24" t="s">
        <v>107</v>
      </c>
      <c r="E30" s="110">
        <f>E28*0.3</f>
        <v>72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  <c r="R30" s="21"/>
    </row>
    <row r="31" spans="1:18" ht="30.6">
      <c r="A31" s="38">
        <v>9</v>
      </c>
      <c r="B31" s="39" t="s">
        <v>83</v>
      </c>
      <c r="C31" s="104" t="s">
        <v>172</v>
      </c>
      <c r="D31" s="24" t="s">
        <v>81</v>
      </c>
      <c r="E31" s="109">
        <v>5</v>
      </c>
      <c r="F31" s="67"/>
      <c r="G31" s="64"/>
      <c r="H31" s="48">
        <f>ROUND(G31*F31,2)</f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  <c r="R31" s="21"/>
    </row>
    <row r="32" spans="1:18" ht="20.399999999999999">
      <c r="A32" s="38"/>
      <c r="B32" s="39"/>
      <c r="C32" s="103" t="s">
        <v>173</v>
      </c>
      <c r="D32" s="24" t="s">
        <v>81</v>
      </c>
      <c r="E32" s="109">
        <f>E31*1.05</f>
        <v>5.25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  <c r="R32" s="21"/>
    </row>
    <row r="33" spans="1:18">
      <c r="A33" s="38"/>
      <c r="B33" s="39"/>
      <c r="C33" s="103" t="s">
        <v>126</v>
      </c>
      <c r="D33" s="24" t="s">
        <v>107</v>
      </c>
      <c r="E33" s="110">
        <f>E31*6</f>
        <v>30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  <c r="R33" s="21"/>
    </row>
    <row r="34" spans="1:18" ht="20.399999999999999">
      <c r="A34" s="38">
        <v>10</v>
      </c>
      <c r="B34" s="39" t="s">
        <v>119</v>
      </c>
      <c r="C34" s="104" t="s">
        <v>174</v>
      </c>
      <c r="D34" s="24" t="s">
        <v>81</v>
      </c>
      <c r="E34" s="109">
        <f>E31</f>
        <v>5</v>
      </c>
      <c r="F34" s="67"/>
      <c r="G34" s="64"/>
      <c r="H34" s="48">
        <f>ROUND(G34*F34,2)</f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  <c r="R34" s="21"/>
    </row>
    <row r="35" spans="1:18">
      <c r="A35" s="38"/>
      <c r="B35" s="39"/>
      <c r="C35" s="103" t="s">
        <v>125</v>
      </c>
      <c r="D35" s="24" t="s">
        <v>81</v>
      </c>
      <c r="E35" s="109">
        <f>E34*1.03</f>
        <v>5.15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  <c r="R35" s="21"/>
    </row>
    <row r="36" spans="1:18">
      <c r="A36" s="38"/>
      <c r="B36" s="39"/>
      <c r="C36" s="103" t="s">
        <v>126</v>
      </c>
      <c r="D36" s="24" t="s">
        <v>107</v>
      </c>
      <c r="E36" s="110">
        <f>E34*6</f>
        <v>30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  <c r="R36" s="21"/>
    </row>
    <row r="37" spans="1:18">
      <c r="A37" s="38"/>
      <c r="B37" s="39"/>
      <c r="C37" s="103" t="s">
        <v>175</v>
      </c>
      <c r="D37" s="24" t="s">
        <v>57</v>
      </c>
      <c r="E37" s="109">
        <v>50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  <c r="R37" s="21"/>
    </row>
    <row r="38" spans="1:18" ht="20.399999999999999">
      <c r="A38" s="38">
        <v>11</v>
      </c>
      <c r="B38" s="39" t="s">
        <v>119</v>
      </c>
      <c r="C38" s="104" t="s">
        <v>176</v>
      </c>
      <c r="D38" s="24" t="s">
        <v>81</v>
      </c>
      <c r="E38" s="109">
        <f>SUM(E31)</f>
        <v>5</v>
      </c>
      <c r="F38" s="67"/>
      <c r="G38" s="64"/>
      <c r="H38" s="48">
        <f>ROUND(G38*F38,2)</f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  <c r="R38" s="21"/>
    </row>
    <row r="39" spans="1:18">
      <c r="A39" s="38"/>
      <c r="B39" s="39"/>
      <c r="C39" s="103" t="s">
        <v>122</v>
      </c>
      <c r="D39" s="24" t="s">
        <v>107</v>
      </c>
      <c r="E39" s="110">
        <f>E38*0.18</f>
        <v>1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  <c r="R39" s="21"/>
    </row>
    <row r="40" spans="1:18">
      <c r="A40" s="38"/>
      <c r="B40" s="39"/>
      <c r="C40" s="103" t="s">
        <v>130</v>
      </c>
      <c r="D40" s="24" t="s">
        <v>107</v>
      </c>
      <c r="E40" s="110">
        <f>E38*1.8*2.5</f>
        <v>23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  <c r="R40" s="21"/>
    </row>
    <row r="41" spans="1:18" ht="20.399999999999999">
      <c r="A41" s="38">
        <v>12</v>
      </c>
      <c r="B41" s="39" t="s">
        <v>119</v>
      </c>
      <c r="C41" s="104" t="s">
        <v>177</v>
      </c>
      <c r="D41" s="24" t="s">
        <v>81</v>
      </c>
      <c r="E41" s="109">
        <f>E38</f>
        <v>5</v>
      </c>
      <c r="F41" s="67"/>
      <c r="G41" s="64"/>
      <c r="H41" s="48">
        <f>ROUND(G41*F41,2)</f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  <c r="R41" s="21"/>
    </row>
    <row r="42" spans="1:18">
      <c r="A42" s="38"/>
      <c r="B42" s="39"/>
      <c r="C42" s="103" t="s">
        <v>133</v>
      </c>
      <c r="D42" s="24" t="s">
        <v>107</v>
      </c>
      <c r="E42" s="110">
        <f>E41*0.18</f>
        <v>1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  <c r="R42" s="21"/>
    </row>
    <row r="43" spans="1:18" ht="20.399999999999999">
      <c r="A43" s="38"/>
      <c r="B43" s="39"/>
      <c r="C43" s="103" t="s">
        <v>134</v>
      </c>
      <c r="D43" s="24" t="s">
        <v>107</v>
      </c>
      <c r="E43" s="110">
        <f>E41*0.3</f>
        <v>2</v>
      </c>
      <c r="F43" s="67"/>
      <c r="G43" s="64"/>
      <c r="H43" s="48"/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  <c r="R43" s="21"/>
    </row>
    <row r="44" spans="1:18" ht="20.399999999999999">
      <c r="A44" s="38">
        <v>13</v>
      </c>
      <c r="B44" s="39" t="s">
        <v>140</v>
      </c>
      <c r="C44" s="104" t="s">
        <v>178</v>
      </c>
      <c r="D44" s="24" t="s">
        <v>179</v>
      </c>
      <c r="E44" s="109">
        <f>E15/2</f>
        <v>90</v>
      </c>
      <c r="F44" s="67"/>
      <c r="G44" s="64"/>
      <c r="H44" s="48">
        <f>ROUND(G44*F44,2)</f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  <c r="R44" s="21"/>
    </row>
    <row r="45" spans="1:18" ht="15.6">
      <c r="A45" s="38"/>
      <c r="B45" s="39"/>
      <c r="C45" s="103" t="s">
        <v>180</v>
      </c>
      <c r="D45" s="24" t="s">
        <v>179</v>
      </c>
      <c r="E45" s="109">
        <f>SUM(E44)*1.25</f>
        <v>112.5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  <c r="R45" s="21"/>
    </row>
    <row r="46" spans="1:18" ht="20.399999999999999">
      <c r="A46" s="38">
        <v>14</v>
      </c>
      <c r="B46" s="39" t="s">
        <v>140</v>
      </c>
      <c r="C46" s="104" t="s">
        <v>181</v>
      </c>
      <c r="D46" s="24" t="s">
        <v>163</v>
      </c>
      <c r="E46" s="109">
        <f>E45</f>
        <v>112.5</v>
      </c>
      <c r="F46" s="67"/>
      <c r="G46" s="64"/>
      <c r="H46" s="48">
        <f>ROUND(G46*F46,2)</f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  <c r="R46" s="21"/>
    </row>
    <row r="47" spans="1:18" ht="20.399999999999999">
      <c r="A47" s="38">
        <v>15</v>
      </c>
      <c r="B47" s="39" t="s">
        <v>140</v>
      </c>
      <c r="C47" s="104" t="s">
        <v>182</v>
      </c>
      <c r="D47" s="24" t="s">
        <v>85</v>
      </c>
      <c r="E47" s="109">
        <f>SUM(E44)</f>
        <v>90</v>
      </c>
      <c r="F47" s="67"/>
      <c r="G47" s="64"/>
      <c r="H47" s="48">
        <f t="shared" ref="H47:H57" si="9">ROUND(G47*F47,2)</f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  <c r="R47" s="21"/>
    </row>
    <row r="48" spans="1:18">
      <c r="A48" s="38"/>
      <c r="B48" s="39"/>
      <c r="C48" s="103" t="s">
        <v>327</v>
      </c>
      <c r="D48" s="24" t="s">
        <v>85</v>
      </c>
      <c r="E48" s="109">
        <f>SUM(E47)*1.25</f>
        <v>112.5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  <c r="R48" s="21"/>
    </row>
    <row r="49" spans="1:18" ht="20.399999999999999">
      <c r="A49" s="38">
        <v>16</v>
      </c>
      <c r="B49" s="39" t="s">
        <v>140</v>
      </c>
      <c r="C49" s="104" t="s">
        <v>183</v>
      </c>
      <c r="D49" s="24" t="s">
        <v>81</v>
      </c>
      <c r="E49" s="109">
        <v>127</v>
      </c>
      <c r="F49" s="67"/>
      <c r="G49" s="64"/>
      <c r="H49" s="48">
        <f t="shared" si="9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  <c r="R49" s="21"/>
    </row>
    <row r="50" spans="1:18">
      <c r="A50" s="38"/>
      <c r="B50" s="39"/>
      <c r="C50" s="103" t="s">
        <v>324</v>
      </c>
      <c r="D50" s="24" t="s">
        <v>85</v>
      </c>
      <c r="E50" s="109">
        <v>5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  <c r="R50" s="21"/>
    </row>
    <row r="51" spans="1:18">
      <c r="A51" s="38"/>
      <c r="B51" s="39"/>
      <c r="C51" s="103" t="s">
        <v>325</v>
      </c>
      <c r="D51" s="24" t="s">
        <v>85</v>
      </c>
      <c r="E51" s="109">
        <v>5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  <c r="R51" s="21"/>
    </row>
    <row r="52" spans="1:18">
      <c r="A52" s="38"/>
      <c r="B52" s="39"/>
      <c r="C52" s="103" t="s">
        <v>326</v>
      </c>
      <c r="D52" s="24" t="s">
        <v>85</v>
      </c>
      <c r="E52" s="109">
        <v>10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  <c r="R52" s="21"/>
    </row>
    <row r="53" spans="1:18" ht="20.399999999999999">
      <c r="A53" s="38">
        <v>17</v>
      </c>
      <c r="B53" s="39" t="s">
        <v>184</v>
      </c>
      <c r="C53" s="104" t="s">
        <v>185</v>
      </c>
      <c r="D53" s="24" t="s">
        <v>57</v>
      </c>
      <c r="E53" s="109">
        <v>195</v>
      </c>
      <c r="F53" s="67"/>
      <c r="G53" s="64"/>
      <c r="H53" s="48">
        <f t="shared" si="9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  <c r="R53" s="21"/>
    </row>
    <row r="54" spans="1:18" ht="20.399999999999999">
      <c r="A54" s="38">
        <v>18</v>
      </c>
      <c r="B54" s="39" t="s">
        <v>184</v>
      </c>
      <c r="C54" s="104" t="s">
        <v>186</v>
      </c>
      <c r="D54" s="24" t="s">
        <v>81</v>
      </c>
      <c r="E54" s="109">
        <v>127</v>
      </c>
      <c r="F54" s="67"/>
      <c r="G54" s="64"/>
      <c r="H54" s="48">
        <f t="shared" si="9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  <c r="R54" s="21"/>
    </row>
    <row r="55" spans="1:18">
      <c r="A55" s="38"/>
      <c r="B55" s="39"/>
      <c r="C55" s="103" t="s">
        <v>323</v>
      </c>
      <c r="D55" s="24" t="s">
        <v>81</v>
      </c>
      <c r="E55" s="109">
        <f>SUM(E54)*1.1</f>
        <v>139.69999999999999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  <c r="R55" s="21"/>
    </row>
    <row r="56" spans="1:18">
      <c r="A56" s="38">
        <v>20</v>
      </c>
      <c r="B56" s="39"/>
      <c r="C56" s="104" t="s">
        <v>187</v>
      </c>
      <c r="D56" s="24" t="s">
        <v>81</v>
      </c>
      <c r="E56" s="109">
        <v>25</v>
      </c>
      <c r="F56" s="67"/>
      <c r="G56" s="64"/>
      <c r="H56" s="48">
        <f t="shared" ref="H56" si="10">ROUND(G56*F56,2)</f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  <c r="R56" s="21"/>
    </row>
    <row r="57" spans="1:18" ht="20.399999999999999">
      <c r="A57" s="38">
        <v>21</v>
      </c>
      <c r="B57" s="39"/>
      <c r="C57" s="104" t="s">
        <v>188</v>
      </c>
      <c r="D57" s="24" t="s">
        <v>121</v>
      </c>
      <c r="E57" s="109">
        <v>25</v>
      </c>
      <c r="F57" s="67"/>
      <c r="G57" s="64"/>
      <c r="H57" s="48">
        <f t="shared" si="9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  <c r="R57" s="21"/>
    </row>
    <row r="58" spans="1:18" ht="16.2" thickBot="1">
      <c r="A58" s="38">
        <v>22</v>
      </c>
      <c r="B58" s="39"/>
      <c r="C58" s="104" t="s">
        <v>189</v>
      </c>
      <c r="D58" s="24" t="s">
        <v>121</v>
      </c>
      <c r="E58" s="109">
        <v>25</v>
      </c>
      <c r="F58" s="67"/>
      <c r="G58" s="64"/>
      <c r="H58" s="48">
        <f>ROUND(G58*F58,2)</f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  <c r="R58" s="21"/>
    </row>
    <row r="59" spans="1:18" ht="10.8" thickBot="1">
      <c r="A59" s="176" t="s">
        <v>76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8"/>
      <c r="L59" s="68">
        <f>SUM(L14:L58)</f>
        <v>0</v>
      </c>
      <c r="M59" s="69">
        <f>SUM(M14:M58)</f>
        <v>0</v>
      </c>
      <c r="N59" s="69">
        <f>SUM(N14:N58)</f>
        <v>0</v>
      </c>
      <c r="O59" s="69">
        <f>SUM(O14:O58)</f>
        <v>0</v>
      </c>
      <c r="P59" s="70">
        <f>SUM(P14:P58)</f>
        <v>0</v>
      </c>
    </row>
    <row r="60" spans="1:18">
      <c r="A60" s="17"/>
      <c r="B60" s="17"/>
      <c r="C60" s="17"/>
      <c r="D60" s="17"/>
      <c r="E60" s="113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8">
      <c r="A61" s="17"/>
      <c r="B61" s="17"/>
      <c r="C61" s="17"/>
      <c r="D61" s="17"/>
      <c r="E61" s="113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8">
      <c r="A62" s="1" t="s">
        <v>14</v>
      </c>
      <c r="B62" s="17"/>
      <c r="C62" s="175">
        <f>'Kops a'!C33:H33</f>
        <v>0</v>
      </c>
      <c r="D62" s="175"/>
      <c r="E62" s="175"/>
      <c r="F62" s="175"/>
      <c r="G62" s="175"/>
      <c r="H62" s="175"/>
      <c r="I62" s="17"/>
      <c r="J62" s="17"/>
      <c r="K62" s="17"/>
      <c r="L62" s="17"/>
      <c r="M62" s="17"/>
      <c r="N62" s="17"/>
      <c r="O62" s="17"/>
      <c r="P62" s="17"/>
    </row>
    <row r="63" spans="1:18">
      <c r="A63" s="17"/>
      <c r="B63" s="17"/>
      <c r="C63" s="125" t="s">
        <v>15</v>
      </c>
      <c r="D63" s="125"/>
      <c r="E63" s="125"/>
      <c r="F63" s="125"/>
      <c r="G63" s="125"/>
      <c r="H63" s="125"/>
      <c r="I63" s="17"/>
      <c r="J63" s="17"/>
      <c r="K63" s="17"/>
      <c r="L63" s="17"/>
      <c r="M63" s="17"/>
      <c r="N63" s="17"/>
      <c r="O63" s="17"/>
      <c r="P63" s="17"/>
    </row>
    <row r="64" spans="1:18">
      <c r="A64" s="17"/>
      <c r="B64" s="17"/>
      <c r="C64" s="17"/>
      <c r="D64" s="17"/>
      <c r="E64" s="113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87" t="str">
        <f>'Kops a'!A36</f>
        <v>Tāme sastādīta</v>
      </c>
      <c r="B65" s="88"/>
      <c r="C65" s="88"/>
      <c r="D65" s="88"/>
      <c r="E65" s="11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7"/>
      <c r="B66" s="17"/>
      <c r="C66" s="17"/>
      <c r="D66" s="17"/>
      <c r="E66" s="1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" t="s">
        <v>37</v>
      </c>
      <c r="B67" s="17"/>
      <c r="C67" s="175">
        <f>'Kops a'!C38:H38</f>
        <v>0</v>
      </c>
      <c r="D67" s="175"/>
      <c r="E67" s="175"/>
      <c r="F67" s="175"/>
      <c r="G67" s="175"/>
      <c r="H67" s="175"/>
      <c r="I67" s="17"/>
      <c r="J67" s="17"/>
      <c r="K67" s="17"/>
      <c r="L67" s="17"/>
      <c r="M67" s="17"/>
      <c r="N67" s="17"/>
      <c r="O67" s="17"/>
      <c r="P67" s="17"/>
    </row>
    <row r="68" spans="1:16">
      <c r="A68" s="17"/>
      <c r="B68" s="17"/>
      <c r="C68" s="125" t="s">
        <v>15</v>
      </c>
      <c r="D68" s="125"/>
      <c r="E68" s="125"/>
      <c r="F68" s="125"/>
      <c r="G68" s="125"/>
      <c r="H68" s="125"/>
      <c r="I68" s="17"/>
      <c r="J68" s="17"/>
      <c r="K68" s="17"/>
      <c r="L68" s="17"/>
      <c r="M68" s="17"/>
      <c r="N68" s="17"/>
      <c r="O68" s="17"/>
      <c r="P68" s="17"/>
    </row>
    <row r="69" spans="1:16">
      <c r="A69" s="17"/>
      <c r="B69" s="17"/>
      <c r="C69" s="17"/>
      <c r="D69" s="17"/>
      <c r="E69" s="1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87" t="s">
        <v>54</v>
      </c>
      <c r="B70" s="88"/>
      <c r="C70" s="92">
        <f>'Kops a'!C41</f>
        <v>0</v>
      </c>
      <c r="D70" s="51"/>
      <c r="E70" s="113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>
      <c r="A71" s="17"/>
      <c r="B71" s="17"/>
      <c r="C71" s="17"/>
      <c r="D71" s="17"/>
      <c r="E71" s="11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</sheetData>
  <mergeCells count="22">
    <mergeCell ref="N9:O9"/>
    <mergeCell ref="L12:P12"/>
    <mergeCell ref="A9:I9"/>
    <mergeCell ref="C2:I2"/>
    <mergeCell ref="C3:I3"/>
    <mergeCell ref="D5:L5"/>
    <mergeCell ref="D6:L6"/>
    <mergeCell ref="D7:L7"/>
    <mergeCell ref="C68:H68"/>
    <mergeCell ref="C4:I4"/>
    <mergeCell ref="F12:K12"/>
    <mergeCell ref="J9:M9"/>
    <mergeCell ref="D8:L8"/>
    <mergeCell ref="A59:K59"/>
    <mergeCell ref="C62:H62"/>
    <mergeCell ref="C63:H63"/>
    <mergeCell ref="C67:H67"/>
    <mergeCell ref="A12:A13"/>
    <mergeCell ref="B12:B13"/>
    <mergeCell ref="C12:C13"/>
    <mergeCell ref="D12:D13"/>
    <mergeCell ref="E12:E13"/>
  </mergeCells>
  <conditionalFormatting sqref="N9:O9">
    <cfRule type="cellIs" dxfId="136" priority="32" operator="equal">
      <formula>0</formula>
    </cfRule>
  </conditionalFormatting>
  <conditionalFormatting sqref="C2:I2">
    <cfRule type="cellIs" dxfId="135" priority="29" operator="equal">
      <formula>0</formula>
    </cfRule>
  </conditionalFormatting>
  <conditionalFormatting sqref="O10">
    <cfRule type="cellIs" dxfId="134" priority="28" operator="equal">
      <formula>"20__. gada __. _________"</formula>
    </cfRule>
  </conditionalFormatting>
  <conditionalFormatting sqref="A59:K59">
    <cfRule type="containsText" dxfId="133" priority="27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L14:P59">
    <cfRule type="cellIs" dxfId="132" priority="22" operator="equal">
      <formula>0</formula>
    </cfRule>
  </conditionalFormatting>
  <conditionalFormatting sqref="C4:I4">
    <cfRule type="cellIs" dxfId="131" priority="21" operator="equal">
      <formula>0</formula>
    </cfRule>
  </conditionalFormatting>
  <conditionalFormatting sqref="D5:L8">
    <cfRule type="cellIs" dxfId="130" priority="18" operator="equal">
      <formula>0</formula>
    </cfRule>
  </conditionalFormatting>
  <conditionalFormatting sqref="C62:H62">
    <cfRule type="cellIs" dxfId="129" priority="10" operator="equal">
      <formula>0</formula>
    </cfRule>
  </conditionalFormatting>
  <conditionalFormatting sqref="C67:H67">
    <cfRule type="cellIs" dxfId="128" priority="11" operator="equal">
      <formula>0</formula>
    </cfRule>
  </conditionalFormatting>
  <conditionalFormatting sqref="P10">
    <cfRule type="cellIs" dxfId="127" priority="14" operator="equal">
      <formula>"20__. gada __. _________"</formula>
    </cfRule>
  </conditionalFormatting>
  <conditionalFormatting sqref="C67:H67 C70 C62:H62">
    <cfRule type="cellIs" dxfId="126" priority="9" operator="equal">
      <formula>0</formula>
    </cfRule>
  </conditionalFormatting>
  <conditionalFormatting sqref="D1">
    <cfRule type="cellIs" dxfId="125" priority="8" operator="equal">
      <formula>0</formula>
    </cfRule>
  </conditionalFormatting>
  <conditionalFormatting sqref="A14:B58 D14:E58">
    <cfRule type="cellIs" dxfId="124" priority="7" operator="equal">
      <formula>0</formula>
    </cfRule>
  </conditionalFormatting>
  <conditionalFormatting sqref="C14:C58">
    <cfRule type="cellIs" dxfId="123" priority="6" operator="equal">
      <formula>0</formula>
    </cfRule>
  </conditionalFormatting>
  <conditionalFormatting sqref="I14:J58 F14:G58">
    <cfRule type="cellIs" dxfId="122" priority="3" operator="equal">
      <formula>0</formula>
    </cfRule>
  </conditionalFormatting>
  <conditionalFormatting sqref="H14:H58 K14:K58">
    <cfRule type="cellIs" dxfId="121" priority="2" operator="equal">
      <formula>0</formula>
    </cfRule>
  </conditionalFormatting>
  <conditionalFormatting sqref="A9">
    <cfRule type="containsText" dxfId="12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0B610FE1-6F17-46AF-982B-27B20E80701D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12" operator="containsText" id="{F3EAEDA8-031E-4BF8-B71A-4A6D64C3BFEB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Q56"/>
  <sheetViews>
    <sheetView workbookViewId="0">
      <selection activeCell="I41" sqref="I41:J43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0.109375" style="1" customWidth="1"/>
    <col min="4" max="4" width="4.77734375" style="1" customWidth="1"/>
    <col min="5" max="5" width="6.109375" style="114" customWidth="1"/>
    <col min="6" max="6" width="4.44140625" style="1" customWidth="1"/>
    <col min="7" max="7" width="3.77734375" style="1" customWidth="1"/>
    <col min="8" max="10" width="5" style="1" customWidth="1"/>
    <col min="11" max="11" width="5.33203125" style="1" customWidth="1"/>
    <col min="12" max="12" width="5.6640625" style="1" customWidth="1"/>
    <col min="13" max="13" width="7.6640625" style="1" customWidth="1"/>
    <col min="14" max="14" width="8.6640625" style="1" customWidth="1"/>
    <col min="15" max="15" width="7.6640625" style="1" customWidth="1"/>
    <col min="16" max="16" width="9" style="1" customWidth="1"/>
    <col min="17" max="17" width="15.44140625" style="1" customWidth="1"/>
    <col min="18" max="16384" width="9.109375" style="1"/>
  </cols>
  <sheetData>
    <row r="1" spans="1:17">
      <c r="A1" s="23"/>
      <c r="B1" s="23"/>
      <c r="C1" s="27" t="s">
        <v>38</v>
      </c>
      <c r="D1" s="52">
        <f>'Kops a'!A19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7">
      <c r="A2" s="29"/>
      <c r="B2" s="29"/>
      <c r="C2" s="180" t="s">
        <v>196</v>
      </c>
      <c r="D2" s="180"/>
      <c r="E2" s="180"/>
      <c r="F2" s="180"/>
      <c r="G2" s="180"/>
      <c r="H2" s="180"/>
      <c r="I2" s="180"/>
      <c r="J2" s="29"/>
    </row>
    <row r="3" spans="1:17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7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7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7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7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7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7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P44</f>
        <v>0</v>
      </c>
      <c r="O9" s="192"/>
      <c r="P9" s="31"/>
    </row>
    <row r="10" spans="1:17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A50</f>
        <v>Tāme sastādīta</v>
      </c>
    </row>
    <row r="11" spans="1:17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7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7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7" ht="20.399999999999999">
      <c r="A14" s="38" t="s">
        <v>78</v>
      </c>
      <c r="B14" s="39" t="s">
        <v>79</v>
      </c>
      <c r="C14" s="104" t="s">
        <v>190</v>
      </c>
      <c r="D14" s="24" t="s">
        <v>121</v>
      </c>
      <c r="E14" s="109">
        <v>223.08</v>
      </c>
      <c r="F14" s="67"/>
      <c r="G14" s="64"/>
      <c r="H14" s="48">
        <f>ROUND(G14*F14,2)</f>
        <v>0</v>
      </c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7" ht="20.399999999999999">
      <c r="A15" s="38">
        <v>2</v>
      </c>
      <c r="B15" s="39" t="s">
        <v>191</v>
      </c>
      <c r="C15" s="104" t="s">
        <v>192</v>
      </c>
      <c r="D15" s="24" t="s">
        <v>121</v>
      </c>
      <c r="E15" s="109">
        <f>E14-(49.92+11.4)</f>
        <v>161.76</v>
      </c>
      <c r="F15" s="67"/>
      <c r="G15" s="64"/>
      <c r="H15" s="48">
        <f>ROUND(G15*F15,2)</f>
        <v>0</v>
      </c>
      <c r="I15" s="64"/>
      <c r="J15" s="64"/>
      <c r="K15" s="49">
        <f t="shared" ref="K15:K43" si="0">SUM(H15:J15)</f>
        <v>0</v>
      </c>
      <c r="L15" s="50">
        <f t="shared" ref="L15:L43" si="1">ROUND(E15*F15,2)</f>
        <v>0</v>
      </c>
      <c r="M15" s="48">
        <f t="shared" ref="M15:M43" si="2">ROUND(H15*E15,2)</f>
        <v>0</v>
      </c>
      <c r="N15" s="48">
        <f t="shared" ref="N15:N43" si="3">ROUND(I15*E15,2)</f>
        <v>0</v>
      </c>
      <c r="O15" s="48">
        <f t="shared" ref="O15:O43" si="4">ROUND(J15*E15,2)</f>
        <v>0</v>
      </c>
      <c r="P15" s="49">
        <f t="shared" ref="P15:P43" si="5">SUM(M15:O15)</f>
        <v>0</v>
      </c>
      <c r="Q15" s="115"/>
    </row>
    <row r="16" spans="1:17" ht="20.399999999999999">
      <c r="A16" s="38"/>
      <c r="B16" s="39"/>
      <c r="C16" s="103" t="s">
        <v>193</v>
      </c>
      <c r="D16" s="24" t="s">
        <v>85</v>
      </c>
      <c r="E16" s="120">
        <f>E15*0.15*1.1</f>
        <v>26.69</v>
      </c>
      <c r="F16" s="67"/>
      <c r="G16" s="64"/>
      <c r="H16" s="48"/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  <c r="Q16" s="108"/>
    </row>
    <row r="17" spans="1:16">
      <c r="A17" s="38"/>
      <c r="B17" s="39"/>
      <c r="C17" s="103" t="s">
        <v>306</v>
      </c>
      <c r="D17" s="24" t="s">
        <v>57</v>
      </c>
      <c r="E17" s="109">
        <v>360</v>
      </c>
      <c r="F17" s="67"/>
      <c r="G17" s="64"/>
      <c r="H17" s="48"/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>
      <c r="A18" s="38"/>
      <c r="B18" s="39"/>
      <c r="C18" s="103" t="s">
        <v>194</v>
      </c>
      <c r="D18" s="24" t="s">
        <v>195</v>
      </c>
      <c r="E18" s="110">
        <v>105</v>
      </c>
      <c r="F18" s="67"/>
      <c r="G18" s="64"/>
      <c r="H18" s="48"/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0.399999999999999">
      <c r="A19" s="38"/>
      <c r="B19" s="39"/>
      <c r="C19" s="103" t="s">
        <v>307</v>
      </c>
      <c r="D19" s="24" t="s">
        <v>71</v>
      </c>
      <c r="E19" s="110">
        <v>30</v>
      </c>
      <c r="F19" s="67"/>
      <c r="G19" s="64"/>
      <c r="H19" s="48"/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>
      <c r="A20" s="38"/>
      <c r="B20" s="39"/>
      <c r="C20" s="107" t="s">
        <v>196</v>
      </c>
      <c r="D20" s="24"/>
      <c r="E20" s="106"/>
      <c r="F20" s="67"/>
      <c r="G20" s="64"/>
      <c r="H20" s="48">
        <f t="shared" ref="H20" si="6">ROUND(F20*G20,2)</f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30.6">
      <c r="A21" s="38">
        <v>1</v>
      </c>
      <c r="B21" s="39" t="s">
        <v>197</v>
      </c>
      <c r="C21" s="104" t="s">
        <v>347</v>
      </c>
      <c r="D21" s="24" t="s">
        <v>121</v>
      </c>
      <c r="E21" s="109">
        <v>1151.24</v>
      </c>
      <c r="F21" s="67"/>
      <c r="G21" s="64"/>
      <c r="H21" s="48">
        <f>ROUND(G21*F21,2)</f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>
      <c r="A22" s="38"/>
      <c r="B22" s="39"/>
      <c r="C22" s="99" t="s">
        <v>308</v>
      </c>
      <c r="D22" s="24" t="s">
        <v>71</v>
      </c>
      <c r="E22" s="110">
        <v>6</v>
      </c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>
      <c r="A23" s="38"/>
      <c r="B23" s="39"/>
      <c r="C23" s="99" t="s">
        <v>309</v>
      </c>
      <c r="D23" s="24" t="s">
        <v>71</v>
      </c>
      <c r="E23" s="110">
        <v>6</v>
      </c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>
      <c r="A24" s="38"/>
      <c r="B24" s="39"/>
      <c r="C24" s="99" t="s">
        <v>310</v>
      </c>
      <c r="D24" s="24" t="s">
        <v>71</v>
      </c>
      <c r="E24" s="110">
        <v>22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>
      <c r="A25" s="38"/>
      <c r="B25" s="39"/>
      <c r="C25" s="99" t="s">
        <v>311</v>
      </c>
      <c r="D25" s="24" t="s">
        <v>71</v>
      </c>
      <c r="E25" s="110">
        <v>5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>
      <c r="A26" s="38"/>
      <c r="B26" s="39"/>
      <c r="C26" s="99" t="s">
        <v>312</v>
      </c>
      <c r="D26" s="24" t="s">
        <v>71</v>
      </c>
      <c r="E26" s="110">
        <v>8</v>
      </c>
      <c r="F26" s="67"/>
      <c r="G26" s="64"/>
      <c r="H26" s="48"/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0.399999999999999">
      <c r="A27" s="38"/>
      <c r="B27" s="39"/>
      <c r="C27" s="99" t="s">
        <v>313</v>
      </c>
      <c r="D27" s="24" t="s">
        <v>71</v>
      </c>
      <c r="E27" s="110">
        <v>7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0.399999999999999">
      <c r="A28" s="38"/>
      <c r="B28" s="39"/>
      <c r="C28" s="99" t="s">
        <v>314</v>
      </c>
      <c r="D28" s="24" t="s">
        <v>71</v>
      </c>
      <c r="E28" s="110">
        <v>3</v>
      </c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0.399999999999999">
      <c r="A29" s="38"/>
      <c r="B29" s="39"/>
      <c r="C29" s="99" t="s">
        <v>315</v>
      </c>
      <c r="D29" s="24" t="s">
        <v>71</v>
      </c>
      <c r="E29" s="110">
        <v>5</v>
      </c>
      <c r="F29" s="67"/>
      <c r="G29" s="64"/>
      <c r="H29" s="48"/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>
      <c r="A30" s="38"/>
      <c r="B30" s="39"/>
      <c r="C30" s="99" t="s">
        <v>316</v>
      </c>
      <c r="D30" s="24" t="s">
        <v>71</v>
      </c>
      <c r="E30" s="110">
        <v>21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>
      <c r="A31" s="38"/>
      <c r="B31" s="39"/>
      <c r="C31" s="99" t="s">
        <v>317</v>
      </c>
      <c r="D31" s="24" t="s">
        <v>71</v>
      </c>
      <c r="E31" s="110">
        <v>24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>
      <c r="A32" s="38"/>
      <c r="B32" s="39"/>
      <c r="C32" s="99" t="s">
        <v>318</v>
      </c>
      <c r="D32" s="24" t="s">
        <v>71</v>
      </c>
      <c r="E32" s="110">
        <v>6</v>
      </c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>
      <c r="A33" s="38"/>
      <c r="B33" s="39"/>
      <c r="C33" s="99" t="s">
        <v>319</v>
      </c>
      <c r="D33" s="24" t="s">
        <v>71</v>
      </c>
      <c r="E33" s="110">
        <v>12</v>
      </c>
      <c r="F33" s="67"/>
      <c r="G33" s="64"/>
      <c r="H33" s="48"/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>
      <c r="A34" s="38"/>
      <c r="B34" s="39"/>
      <c r="C34" s="99" t="s">
        <v>320</v>
      </c>
      <c r="D34" s="24" t="s">
        <v>71</v>
      </c>
      <c r="E34" s="110">
        <v>90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0.399999999999999">
      <c r="A35" s="38"/>
      <c r="B35" s="39"/>
      <c r="C35" s="99" t="s">
        <v>348</v>
      </c>
      <c r="D35" s="24" t="s">
        <v>57</v>
      </c>
      <c r="E35" s="109">
        <v>802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>
      <c r="A36" s="38">
        <v>2</v>
      </c>
      <c r="B36" s="39" t="s">
        <v>198</v>
      </c>
      <c r="C36" s="104" t="s">
        <v>199</v>
      </c>
      <c r="D36" s="24" t="s">
        <v>61</v>
      </c>
      <c r="E36" s="110">
        <v>104</v>
      </c>
      <c r="F36" s="67"/>
      <c r="G36" s="64"/>
      <c r="H36" s="48">
        <f t="shared" ref="H36:H38" si="7">ROUND(G36*F36,2)</f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30.6">
      <c r="A37" s="38">
        <v>3</v>
      </c>
      <c r="B37" s="39" t="s">
        <v>197</v>
      </c>
      <c r="C37" s="104" t="s">
        <v>349</v>
      </c>
      <c r="D37" s="24" t="s">
        <v>71</v>
      </c>
      <c r="E37" s="105">
        <v>270</v>
      </c>
      <c r="F37" s="67"/>
      <c r="G37" s="64"/>
      <c r="H37" s="48">
        <f t="shared" si="7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0.399999999999999">
      <c r="A38" s="38">
        <v>4</v>
      </c>
      <c r="B38" s="39" t="s">
        <v>197</v>
      </c>
      <c r="C38" s="104" t="s">
        <v>200</v>
      </c>
      <c r="D38" s="24" t="s">
        <v>201</v>
      </c>
      <c r="E38" s="109">
        <v>51.06</v>
      </c>
      <c r="F38" s="67"/>
      <c r="G38" s="64"/>
      <c r="H38" s="48">
        <f t="shared" si="7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ht="40.799999999999997">
      <c r="A39" s="38"/>
      <c r="B39" s="39"/>
      <c r="C39" s="103" t="s">
        <v>350</v>
      </c>
      <c r="D39" s="24" t="s">
        <v>71</v>
      </c>
      <c r="E39" s="110">
        <v>6</v>
      </c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40.799999999999997">
      <c r="A40" s="38"/>
      <c r="B40" s="39"/>
      <c r="C40" s="103" t="s">
        <v>351</v>
      </c>
      <c r="D40" s="24" t="s">
        <v>71</v>
      </c>
      <c r="E40" s="110">
        <v>6</v>
      </c>
      <c r="F40" s="67"/>
      <c r="G40" s="64"/>
      <c r="H40" s="48"/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30.6">
      <c r="A41" s="38"/>
      <c r="B41" s="39"/>
      <c r="C41" s="103" t="s">
        <v>352</v>
      </c>
      <c r="D41" s="24" t="s">
        <v>71</v>
      </c>
      <c r="E41" s="110">
        <v>6</v>
      </c>
      <c r="F41" s="67"/>
      <c r="G41" s="64"/>
      <c r="H41" s="48"/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20.399999999999999">
      <c r="A42" s="38"/>
      <c r="B42" s="39"/>
      <c r="C42" s="103" t="s">
        <v>321</v>
      </c>
      <c r="D42" s="24" t="s">
        <v>71</v>
      </c>
      <c r="E42" s="110">
        <v>1</v>
      </c>
      <c r="F42" s="67"/>
      <c r="G42" s="64"/>
      <c r="H42" s="48"/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21" thickBot="1">
      <c r="A43" s="38"/>
      <c r="B43" s="39"/>
      <c r="C43" s="103" t="s">
        <v>322</v>
      </c>
      <c r="D43" s="24" t="s">
        <v>71</v>
      </c>
      <c r="E43" s="110">
        <v>5</v>
      </c>
      <c r="F43" s="67"/>
      <c r="G43" s="64"/>
      <c r="H43" s="48"/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10.8" thickBot="1">
      <c r="A44" s="176" t="s">
        <v>76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8"/>
      <c r="L44" s="68">
        <f>SUM(L14:L43)</f>
        <v>0</v>
      </c>
      <c r="M44" s="69">
        <f>SUM(M14:M43)</f>
        <v>0</v>
      </c>
      <c r="N44" s="69">
        <f>SUM(N14:N43)</f>
        <v>0</v>
      </c>
      <c r="O44" s="69">
        <f>SUM(O14:O43)</f>
        <v>0</v>
      </c>
      <c r="P44" s="70">
        <f>SUM(P14:P43)</f>
        <v>0</v>
      </c>
    </row>
    <row r="45" spans="1:16">
      <c r="A45" s="17"/>
      <c r="B45" s="17"/>
      <c r="C45" s="17"/>
      <c r="D45" s="17"/>
      <c r="E45" s="113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>
      <c r="A46" s="17"/>
      <c r="B46" s="17"/>
      <c r="C46" s="17"/>
      <c r="D46" s="17"/>
      <c r="E46" s="113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>
      <c r="A47" s="1" t="s">
        <v>14</v>
      </c>
      <c r="B47" s="17"/>
      <c r="C47" s="175">
        <f>'Kops a'!C33:H33</f>
        <v>0</v>
      </c>
      <c r="D47" s="175"/>
      <c r="E47" s="175"/>
      <c r="F47" s="175"/>
      <c r="G47" s="175"/>
      <c r="H47" s="175"/>
      <c r="I47" s="17"/>
      <c r="J47" s="17"/>
      <c r="K47" s="17"/>
      <c r="L47" s="17"/>
      <c r="M47" s="17"/>
      <c r="N47" s="17"/>
      <c r="O47" s="17"/>
      <c r="P47" s="17"/>
    </row>
    <row r="48" spans="1:16">
      <c r="A48" s="17"/>
      <c r="B48" s="17"/>
      <c r="C48" s="125" t="s">
        <v>15</v>
      </c>
      <c r="D48" s="125"/>
      <c r="E48" s="125"/>
      <c r="F48" s="125"/>
      <c r="G48" s="125"/>
      <c r="H48" s="125"/>
      <c r="I48" s="17"/>
      <c r="J48" s="17"/>
      <c r="K48" s="17"/>
      <c r="L48" s="17"/>
      <c r="M48" s="17"/>
      <c r="N48" s="17"/>
      <c r="O48" s="17"/>
      <c r="P48" s="17"/>
    </row>
    <row r="49" spans="1:16">
      <c r="A49" s="17"/>
      <c r="B49" s="17"/>
      <c r="C49" s="17"/>
      <c r="D49" s="17"/>
      <c r="E49" s="113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>
      <c r="A50" s="87" t="str">
        <f>'Kops a'!A36</f>
        <v>Tāme sastādīta</v>
      </c>
      <c r="B50" s="88"/>
      <c r="C50" s="88"/>
      <c r="D50" s="88"/>
      <c r="E50" s="113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>
      <c r="A51" s="17"/>
      <c r="B51" s="17"/>
      <c r="C51" s="17"/>
      <c r="D51" s="17"/>
      <c r="E51" s="11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>
      <c r="A52" s="1" t="s">
        <v>37</v>
      </c>
      <c r="B52" s="17"/>
      <c r="C52" s="175">
        <f>'Kops a'!C38:H38</f>
        <v>0</v>
      </c>
      <c r="D52" s="175"/>
      <c r="E52" s="175"/>
      <c r="F52" s="175"/>
      <c r="G52" s="175"/>
      <c r="H52" s="175"/>
      <c r="I52" s="17"/>
      <c r="J52" s="17"/>
      <c r="K52" s="17"/>
      <c r="L52" s="17"/>
      <c r="M52" s="17"/>
      <c r="N52" s="17"/>
      <c r="O52" s="17"/>
      <c r="P52" s="17"/>
    </row>
    <row r="53" spans="1:16">
      <c r="A53" s="17"/>
      <c r="B53" s="17"/>
      <c r="C53" s="125" t="s">
        <v>15</v>
      </c>
      <c r="D53" s="125"/>
      <c r="E53" s="125"/>
      <c r="F53" s="125"/>
      <c r="G53" s="125"/>
      <c r="H53" s="125"/>
      <c r="I53" s="17"/>
      <c r="J53" s="17"/>
      <c r="K53" s="17"/>
      <c r="L53" s="17"/>
      <c r="M53" s="17"/>
      <c r="N53" s="17"/>
      <c r="O53" s="17"/>
      <c r="P53" s="17"/>
    </row>
    <row r="54" spans="1:16">
      <c r="A54" s="17"/>
      <c r="B54" s="17"/>
      <c r="C54" s="17"/>
      <c r="D54" s="17"/>
      <c r="E54" s="113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>
      <c r="A55" s="87" t="s">
        <v>54</v>
      </c>
      <c r="B55" s="88"/>
      <c r="C55" s="92">
        <f>'Kops a'!C41</f>
        <v>0</v>
      </c>
      <c r="D55" s="51"/>
      <c r="E55" s="113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>
      <c r="A56" s="17"/>
      <c r="B56" s="17"/>
      <c r="C56" s="17"/>
      <c r="D56" s="17"/>
      <c r="E56" s="113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53:H53"/>
    <mergeCell ref="C4:I4"/>
    <mergeCell ref="F12:K12"/>
    <mergeCell ref="J9:M9"/>
    <mergeCell ref="D8:L8"/>
    <mergeCell ref="A44:K44"/>
    <mergeCell ref="C47:H47"/>
    <mergeCell ref="C48:H48"/>
    <mergeCell ref="C52:H52"/>
  </mergeCells>
  <conditionalFormatting sqref="N9:O9">
    <cfRule type="cellIs" dxfId="117" priority="32" operator="equal">
      <formula>0</formula>
    </cfRule>
  </conditionalFormatting>
  <conditionalFormatting sqref="C2:I2">
    <cfRule type="cellIs" dxfId="116" priority="29" operator="equal">
      <formula>0</formula>
    </cfRule>
  </conditionalFormatting>
  <conditionalFormatting sqref="O10">
    <cfRule type="cellIs" dxfId="115" priority="28" operator="equal">
      <formula>"20__. gada __. _________"</formula>
    </cfRule>
  </conditionalFormatting>
  <conditionalFormatting sqref="A44:K44">
    <cfRule type="containsText" dxfId="114" priority="27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K38:P43 L44:P44 L14:P37">
    <cfRule type="cellIs" dxfId="113" priority="22" operator="equal">
      <formula>0</formula>
    </cfRule>
  </conditionalFormatting>
  <conditionalFormatting sqref="C4:I4">
    <cfRule type="cellIs" dxfId="112" priority="21" operator="equal">
      <formula>0</formula>
    </cfRule>
  </conditionalFormatting>
  <conditionalFormatting sqref="D5:L8">
    <cfRule type="cellIs" dxfId="111" priority="18" operator="equal">
      <formula>0</formula>
    </cfRule>
  </conditionalFormatting>
  <conditionalFormatting sqref="C47:H47">
    <cfRule type="cellIs" dxfId="110" priority="10" operator="equal">
      <formula>0</formula>
    </cfRule>
  </conditionalFormatting>
  <conditionalFormatting sqref="C52:H52">
    <cfRule type="cellIs" dxfId="109" priority="11" operator="equal">
      <formula>0</formula>
    </cfRule>
  </conditionalFormatting>
  <conditionalFormatting sqref="P10">
    <cfRule type="cellIs" dxfId="108" priority="14" operator="equal">
      <formula>"20__. gada __. _________"</formula>
    </cfRule>
  </conditionalFormatting>
  <conditionalFormatting sqref="C52:H52 C55 C47:H47">
    <cfRule type="cellIs" dxfId="107" priority="9" operator="equal">
      <formula>0</formula>
    </cfRule>
  </conditionalFormatting>
  <conditionalFormatting sqref="D1">
    <cfRule type="cellIs" dxfId="106" priority="8" operator="equal">
      <formula>0</formula>
    </cfRule>
  </conditionalFormatting>
  <conditionalFormatting sqref="A14:B43 D14:E43">
    <cfRule type="cellIs" dxfId="105" priority="7" operator="equal">
      <formula>0</formula>
    </cfRule>
  </conditionalFormatting>
  <conditionalFormatting sqref="C14:C43">
    <cfRule type="cellIs" dxfId="104" priority="6" operator="equal">
      <formula>0</formula>
    </cfRule>
  </conditionalFormatting>
  <conditionalFormatting sqref="I14:J20 F14:G20">
    <cfRule type="cellIs" dxfId="103" priority="5" operator="equal">
      <formula>0</formula>
    </cfRule>
  </conditionalFormatting>
  <conditionalFormatting sqref="H14:H20 K14:K37">
    <cfRule type="cellIs" dxfId="102" priority="4" operator="equal">
      <formula>0</formula>
    </cfRule>
  </conditionalFormatting>
  <conditionalFormatting sqref="I21:J43 F21:G43">
    <cfRule type="cellIs" dxfId="101" priority="3" operator="equal">
      <formula>0</formula>
    </cfRule>
  </conditionalFormatting>
  <conditionalFormatting sqref="H21:H43">
    <cfRule type="cellIs" dxfId="100" priority="2" operator="equal">
      <formula>0</formula>
    </cfRule>
  </conditionalFormatting>
  <conditionalFormatting sqref="A9">
    <cfRule type="containsText" dxfId="99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Q37"/>
  <sheetViews>
    <sheetView topLeftCell="C1" workbookViewId="0">
      <selection activeCell="I14" sqref="I14:I18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4.109375" style="1" customWidth="1"/>
    <col min="4" max="4" width="4.44140625" style="1" customWidth="1"/>
    <col min="5" max="5" width="6.33203125" style="1" customWidth="1"/>
    <col min="6" max="6" width="4.109375" style="1" customWidth="1"/>
    <col min="7" max="8" width="4.77734375" style="1" customWidth="1"/>
    <col min="9" max="9" width="5.109375" style="1" customWidth="1"/>
    <col min="10" max="11" width="4.6640625" style="1" customWidth="1"/>
    <col min="12" max="12" width="6.109375" style="1" customWidth="1"/>
    <col min="13" max="15" width="7.6640625" style="1" customWidth="1"/>
    <col min="16" max="16" width="9" style="1" customWidth="1"/>
    <col min="17" max="17" width="18.44140625" style="1" customWidth="1"/>
    <col min="18" max="16384" width="9.109375" style="1"/>
  </cols>
  <sheetData>
    <row r="1" spans="1:17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7">
      <c r="A2" s="29"/>
      <c r="B2" s="29"/>
      <c r="C2" s="180" t="s">
        <v>336</v>
      </c>
      <c r="D2" s="180"/>
      <c r="E2" s="180"/>
      <c r="F2" s="180"/>
      <c r="G2" s="180"/>
      <c r="H2" s="180"/>
      <c r="I2" s="180"/>
      <c r="J2" s="29"/>
    </row>
    <row r="3" spans="1:17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7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7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7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7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7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7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P19</f>
        <v>0</v>
      </c>
      <c r="O9" s="192"/>
      <c r="P9" s="31"/>
    </row>
    <row r="10" spans="1:17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A25</f>
        <v>Tāme sastādīta</v>
      </c>
    </row>
    <row r="11" spans="1:17" ht="10.8" thickBot="1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7">
      <c r="A12" s="149" t="s">
        <v>23</v>
      </c>
      <c r="B12" s="187" t="s">
        <v>40</v>
      </c>
      <c r="C12" s="183" t="s">
        <v>41</v>
      </c>
      <c r="D12" s="190" t="s">
        <v>42</v>
      </c>
      <c r="E12" s="173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7" ht="126.75" customHeight="1" thickBot="1">
      <c r="A13" s="186"/>
      <c r="B13" s="188"/>
      <c r="C13" s="189"/>
      <c r="D13" s="191"/>
      <c r="E13" s="17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7" ht="20.399999999999999">
      <c r="A14" s="38">
        <v>1</v>
      </c>
      <c r="B14" s="39" t="s">
        <v>119</v>
      </c>
      <c r="C14" s="98" t="s">
        <v>202</v>
      </c>
      <c r="D14" s="24" t="s">
        <v>121</v>
      </c>
      <c r="E14" s="120">
        <v>860.42</v>
      </c>
      <c r="F14" s="67"/>
      <c r="G14" s="64"/>
      <c r="H14" s="48">
        <f>ROUND(G14*F14,2)</f>
        <v>0</v>
      </c>
      <c r="I14" s="64"/>
      <c r="J14" s="64">
        <f>ROUND(H14*6%,2)</f>
        <v>0</v>
      </c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  <c r="Q14" s="196"/>
    </row>
    <row r="15" spans="1:17">
      <c r="A15" s="38"/>
      <c r="B15" s="39"/>
      <c r="C15" s="103" t="s">
        <v>203</v>
      </c>
      <c r="D15" s="24" t="s">
        <v>107</v>
      </c>
      <c r="E15" s="110">
        <f>E14*0.2</f>
        <v>172</v>
      </c>
      <c r="F15" s="67"/>
      <c r="G15" s="64"/>
      <c r="H15" s="48"/>
      <c r="I15" s="64"/>
      <c r="J15" s="64"/>
      <c r="K15" s="49">
        <f t="shared" ref="K15:K18" si="0">SUM(H15:J15)</f>
        <v>0</v>
      </c>
      <c r="L15" s="50">
        <f t="shared" ref="L15:L18" si="1">ROUND(E15*F15,2)</f>
        <v>0</v>
      </c>
      <c r="M15" s="48">
        <f t="shared" ref="M15:M18" si="2">ROUND(H15*E15,2)</f>
        <v>0</v>
      </c>
      <c r="N15" s="48">
        <f t="shared" ref="N15:N18" si="3">ROUND(I15*E15,2)</f>
        <v>0</v>
      </c>
      <c r="O15" s="48">
        <f t="shared" ref="O15:O18" si="4">ROUND(J15*E15,2)</f>
        <v>0</v>
      </c>
      <c r="P15" s="49">
        <f t="shared" ref="P15:P18" si="5">SUM(M15:O15)</f>
        <v>0</v>
      </c>
      <c r="Q15" s="196"/>
    </row>
    <row r="16" spans="1:17" ht="20.399999999999999">
      <c r="A16" s="38">
        <v>2</v>
      </c>
      <c r="B16" s="39" t="s">
        <v>83</v>
      </c>
      <c r="C16" s="98" t="s">
        <v>204</v>
      </c>
      <c r="D16" s="24" t="s">
        <v>121</v>
      </c>
      <c r="E16" s="109">
        <f>E14</f>
        <v>860.42</v>
      </c>
      <c r="F16" s="67"/>
      <c r="G16" s="64"/>
      <c r="H16" s="48">
        <f>ROUND(G16*F16,2)</f>
        <v>0</v>
      </c>
      <c r="I16" s="64"/>
      <c r="J16" s="64">
        <f>ROUND(H16*6%,2)</f>
        <v>0</v>
      </c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  <c r="Q16" s="196"/>
    </row>
    <row r="17" spans="1:17" ht="20.399999999999999">
      <c r="A17" s="38"/>
      <c r="B17" s="39"/>
      <c r="C17" s="103" t="s">
        <v>279</v>
      </c>
      <c r="D17" s="24" t="s">
        <v>121</v>
      </c>
      <c r="E17" s="109">
        <f>E16*1.05</f>
        <v>903.44</v>
      </c>
      <c r="F17" s="67"/>
      <c r="G17" s="64"/>
      <c r="H17" s="48"/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  <c r="Q17" s="196"/>
    </row>
    <row r="18" spans="1:17" ht="10.8" thickBot="1">
      <c r="A18" s="38"/>
      <c r="B18" s="39"/>
      <c r="C18" s="103" t="s">
        <v>126</v>
      </c>
      <c r="D18" s="24" t="s">
        <v>107</v>
      </c>
      <c r="E18" s="110">
        <f>E16*6</f>
        <v>5163</v>
      </c>
      <c r="F18" s="67"/>
      <c r="G18" s="64"/>
      <c r="H18" s="48"/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7" ht="10.8" thickBot="1">
      <c r="A19" s="176" t="s">
        <v>76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8"/>
      <c r="L19" s="68">
        <f>SUM(L14:L18)</f>
        <v>0</v>
      </c>
      <c r="M19" s="69">
        <f>SUM(M14:M18)</f>
        <v>0</v>
      </c>
      <c r="N19" s="69">
        <f>SUM(N14:N18)</f>
        <v>0</v>
      </c>
      <c r="O19" s="69">
        <f>SUM(O14:O18)</f>
        <v>0</v>
      </c>
      <c r="P19" s="70">
        <f>SUM(P14:P18)</f>
        <v>0</v>
      </c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7">
      <c r="A22" s="1" t="s">
        <v>14</v>
      </c>
      <c r="B22" s="17"/>
      <c r="C22" s="175">
        <f>'Kops a'!C33:H33</f>
        <v>0</v>
      </c>
      <c r="D22" s="175"/>
      <c r="E22" s="175"/>
      <c r="F22" s="175"/>
      <c r="G22" s="175"/>
      <c r="H22" s="175"/>
      <c r="I22" s="17"/>
      <c r="J22" s="17"/>
      <c r="K22" s="17"/>
      <c r="L22" s="17"/>
      <c r="M22" s="17"/>
      <c r="N22" s="17"/>
      <c r="O22" s="17"/>
      <c r="P22" s="17"/>
    </row>
    <row r="23" spans="1:17">
      <c r="A23" s="17"/>
      <c r="B23" s="17"/>
      <c r="C23" s="125" t="s">
        <v>15</v>
      </c>
      <c r="D23" s="125"/>
      <c r="E23" s="125"/>
      <c r="F23" s="125"/>
      <c r="G23" s="125"/>
      <c r="H23" s="125"/>
      <c r="I23" s="17"/>
      <c r="J23" s="17"/>
      <c r="K23" s="17"/>
      <c r="L23" s="17"/>
      <c r="M23" s="17"/>
      <c r="N23" s="17"/>
      <c r="O23" s="17"/>
      <c r="P23" s="17"/>
    </row>
    <row r="24" spans="1:1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7">
      <c r="A25" s="87" t="str">
        <f>'Kops a'!A36</f>
        <v>Tāme sastādīta</v>
      </c>
      <c r="B25" s="88"/>
      <c r="C25" s="88"/>
      <c r="D25" s="8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>
      <c r="A27" s="1" t="s">
        <v>37</v>
      </c>
      <c r="B27" s="17"/>
      <c r="C27" s="175">
        <f>'Kops a'!C38:H38</f>
        <v>0</v>
      </c>
      <c r="D27" s="175"/>
      <c r="E27" s="175"/>
      <c r="F27" s="175"/>
      <c r="G27" s="175"/>
      <c r="H27" s="175"/>
      <c r="I27" s="17"/>
      <c r="J27" s="17"/>
      <c r="K27" s="17"/>
      <c r="L27" s="17"/>
      <c r="M27" s="17"/>
      <c r="N27" s="17"/>
      <c r="O27" s="17"/>
      <c r="P27" s="17"/>
    </row>
    <row r="28" spans="1:17">
      <c r="A28" s="17"/>
      <c r="B28" s="17"/>
      <c r="C28" s="125" t="s">
        <v>15</v>
      </c>
      <c r="D28" s="125"/>
      <c r="E28" s="125"/>
      <c r="F28" s="125"/>
      <c r="G28" s="125"/>
      <c r="H28" s="125"/>
      <c r="I28" s="17"/>
      <c r="J28" s="17"/>
      <c r="K28" s="17"/>
      <c r="L28" s="17"/>
      <c r="M28" s="17"/>
      <c r="N28" s="17"/>
      <c r="O28" s="17"/>
      <c r="P28" s="17"/>
    </row>
    <row r="29" spans="1:1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>
      <c r="A30" s="87" t="s">
        <v>54</v>
      </c>
      <c r="B30" s="88"/>
      <c r="C30" s="92">
        <f>'Kops a'!C41</f>
        <v>0</v>
      </c>
      <c r="D30" s="51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7" spans="7:7">
      <c r="G37" s="1" t="s">
        <v>370</v>
      </c>
    </row>
  </sheetData>
  <mergeCells count="23">
    <mergeCell ref="L12:P12"/>
    <mergeCell ref="A9:I9"/>
    <mergeCell ref="C2:I2"/>
    <mergeCell ref="C3:I3"/>
    <mergeCell ref="D5:L5"/>
    <mergeCell ref="D6:L6"/>
    <mergeCell ref="D7:L7"/>
    <mergeCell ref="Q14:Q17"/>
    <mergeCell ref="C28:H28"/>
    <mergeCell ref="C4:I4"/>
    <mergeCell ref="F12:K12"/>
    <mergeCell ref="J9:M9"/>
    <mergeCell ref="D8:L8"/>
    <mergeCell ref="A19:K19"/>
    <mergeCell ref="C22:H22"/>
    <mergeCell ref="C23:H23"/>
    <mergeCell ref="C27:H27"/>
    <mergeCell ref="N9:O9"/>
    <mergeCell ref="A12:A13"/>
    <mergeCell ref="B12:B13"/>
    <mergeCell ref="C12:C13"/>
    <mergeCell ref="D12:D13"/>
    <mergeCell ref="E12:E13"/>
  </mergeCells>
  <conditionalFormatting sqref="N9:O9">
    <cfRule type="cellIs" dxfId="96" priority="33" operator="equal">
      <formula>0</formula>
    </cfRule>
  </conditionalFormatting>
  <conditionalFormatting sqref="C2:I2">
    <cfRule type="cellIs" dxfId="95" priority="30" operator="equal">
      <formula>0</formula>
    </cfRule>
  </conditionalFormatting>
  <conditionalFormatting sqref="O10">
    <cfRule type="cellIs" dxfId="94" priority="29" operator="equal">
      <formula>"20__. gada __. _________"</formula>
    </cfRule>
  </conditionalFormatting>
  <conditionalFormatting sqref="A19:K19">
    <cfRule type="containsText" dxfId="93" priority="28" operator="containsText" text="Tiešās izmaksas kopā, t. sk. darba devēja sociālais nodoklis __.__% ">
      <formula>NOT(ISERROR(SEARCH("Tiešās izmaksas kopā, t. sk. darba devēja sociālais nodoklis __.__% ",A19)))</formula>
    </cfRule>
  </conditionalFormatting>
  <conditionalFormatting sqref="L14:P19">
    <cfRule type="cellIs" dxfId="92" priority="23" operator="equal">
      <formula>0</formula>
    </cfRule>
  </conditionalFormatting>
  <conditionalFormatting sqref="C4:I4">
    <cfRule type="cellIs" dxfId="91" priority="22" operator="equal">
      <formula>0</formula>
    </cfRule>
  </conditionalFormatting>
  <conditionalFormatting sqref="D5:L8">
    <cfRule type="cellIs" dxfId="90" priority="18" operator="equal">
      <formula>0</formula>
    </cfRule>
  </conditionalFormatting>
  <conditionalFormatting sqref="P10">
    <cfRule type="cellIs" dxfId="89" priority="14" operator="equal">
      <formula>"20__. gada __. _________"</formula>
    </cfRule>
  </conditionalFormatting>
  <conditionalFormatting sqref="C27:H27">
    <cfRule type="cellIs" dxfId="88" priority="11" operator="equal">
      <formula>0</formula>
    </cfRule>
  </conditionalFormatting>
  <conditionalFormatting sqref="C22:H22">
    <cfRule type="cellIs" dxfId="87" priority="10" operator="equal">
      <formula>0</formula>
    </cfRule>
  </conditionalFormatting>
  <conditionalFormatting sqref="C27:H27 C30 C22:H22">
    <cfRule type="cellIs" dxfId="86" priority="9" operator="equal">
      <formula>0</formula>
    </cfRule>
  </conditionalFormatting>
  <conditionalFormatting sqref="D1">
    <cfRule type="cellIs" dxfId="85" priority="8" operator="equal">
      <formula>0</formula>
    </cfRule>
  </conditionalFormatting>
  <conditionalFormatting sqref="I14:J18 F14:G18">
    <cfRule type="cellIs" dxfId="84" priority="7" operator="equal">
      <formula>0</formula>
    </cfRule>
  </conditionalFormatting>
  <conditionalFormatting sqref="H14:H18 K14:K18">
    <cfRule type="cellIs" dxfId="83" priority="6" operator="equal">
      <formula>0</formula>
    </cfRule>
  </conditionalFormatting>
  <conditionalFormatting sqref="A9">
    <cfRule type="containsText" dxfId="82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B18 D14:E18">
    <cfRule type="cellIs" dxfId="81" priority="2" operator="equal">
      <formula>0</formula>
    </cfRule>
  </conditionalFormatting>
  <conditionalFormatting sqref="C14:C18">
    <cfRule type="cellIs" dxfId="80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A5F45D83-914D-4306-B26D-4B74C3C819FC}">
            <xm:f>NOT(ISERROR(SEARCH("Tāme sastādīta ____. gada ___. ______________",A25)))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12" operator="containsText" id="{A2E03CF5-E14D-4A31-8C34-6550548A72DB}">
            <xm:f>NOT(ISERROR(SEARCH("Sertifikāta Nr. _________________________________",A30)))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T58"/>
  <sheetViews>
    <sheetView workbookViewId="0">
      <selection activeCell="J45" sqref="J45"/>
    </sheetView>
  </sheetViews>
  <sheetFormatPr defaultColWidth="9.109375" defaultRowHeight="10.199999999999999"/>
  <cols>
    <col min="1" max="1" width="4.44140625" style="1" customWidth="1"/>
    <col min="2" max="2" width="5.33203125" style="1" customWidth="1"/>
    <col min="3" max="3" width="33" style="1" customWidth="1"/>
    <col min="4" max="4" width="4.44140625" style="1" customWidth="1"/>
    <col min="5" max="5" width="6" style="114" customWidth="1"/>
    <col min="6" max="6" width="4.77734375" style="1" customWidth="1"/>
    <col min="7" max="7" width="3.6640625" style="1" customWidth="1"/>
    <col min="8" max="9" width="5" style="1" customWidth="1"/>
    <col min="10" max="10" width="5.109375" style="1" customWidth="1"/>
    <col min="11" max="11" width="7" style="1" customWidth="1"/>
    <col min="12" max="12" width="5.77734375" style="1" customWidth="1"/>
    <col min="13" max="15" width="7.6640625" style="1" customWidth="1"/>
    <col min="16" max="16" width="9" style="1" customWidth="1"/>
    <col min="17" max="17" width="15" style="1" customWidth="1"/>
    <col min="18" max="16384" width="9.109375" style="1"/>
  </cols>
  <sheetData>
    <row r="1" spans="1:16">
      <c r="A1" s="23"/>
      <c r="B1" s="23"/>
      <c r="C1" s="27" t="s">
        <v>38</v>
      </c>
      <c r="D1" s="52">
        <f>'Kops a'!A21</f>
        <v>0</v>
      </c>
      <c r="E1" s="111"/>
      <c r="F1" s="23"/>
      <c r="G1" s="23"/>
      <c r="H1" s="23"/>
      <c r="I1" s="23"/>
      <c r="J1" s="23"/>
      <c r="N1" s="26"/>
      <c r="O1" s="27"/>
      <c r="P1" s="28"/>
    </row>
    <row r="2" spans="1:16">
      <c r="A2" s="29"/>
      <c r="B2" s="29"/>
      <c r="C2" s="180" t="s">
        <v>337</v>
      </c>
      <c r="D2" s="180"/>
      <c r="E2" s="180"/>
      <c r="F2" s="180"/>
      <c r="G2" s="180"/>
      <c r="H2" s="180"/>
      <c r="I2" s="180"/>
      <c r="J2" s="29"/>
    </row>
    <row r="3" spans="1:16">
      <c r="A3" s="30"/>
      <c r="B3" s="30"/>
      <c r="C3" s="170" t="s">
        <v>17</v>
      </c>
      <c r="D3" s="170"/>
      <c r="E3" s="170"/>
      <c r="F3" s="170"/>
      <c r="G3" s="170"/>
      <c r="H3" s="170"/>
      <c r="I3" s="170"/>
      <c r="J3" s="30"/>
    </row>
    <row r="4" spans="1:16">
      <c r="A4" s="30"/>
      <c r="B4" s="30"/>
      <c r="C4" s="181" t="s">
        <v>52</v>
      </c>
      <c r="D4" s="181"/>
      <c r="E4" s="181"/>
      <c r="F4" s="181"/>
      <c r="G4" s="181"/>
      <c r="H4" s="181"/>
      <c r="I4" s="181"/>
      <c r="J4" s="30"/>
    </row>
    <row r="5" spans="1:16">
      <c r="A5" s="23"/>
      <c r="B5" s="23"/>
      <c r="C5" s="27" t="s">
        <v>5</v>
      </c>
      <c r="D5" s="193" t="str">
        <f>'Kops a'!D6</f>
        <v>Dzīvojamā māja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</row>
    <row r="6" spans="1:16">
      <c r="A6" s="23"/>
      <c r="B6" s="23"/>
      <c r="C6" s="27" t="s">
        <v>6</v>
      </c>
      <c r="D6" s="193" t="str">
        <f>'Kops a'!D7</f>
        <v xml:space="preserve">Energoefektivitātes paaugstināšanas projekts dzīvojamai mājai </v>
      </c>
      <c r="E6" s="193"/>
      <c r="F6" s="193"/>
      <c r="G6" s="193"/>
      <c r="H6" s="193"/>
      <c r="I6" s="193"/>
      <c r="J6" s="193"/>
      <c r="K6" s="193"/>
      <c r="L6" s="193"/>
      <c r="M6" s="17"/>
      <c r="N6" s="17"/>
      <c r="O6" s="17"/>
      <c r="P6" s="17"/>
    </row>
    <row r="7" spans="1:16">
      <c r="A7" s="23"/>
      <c r="B7" s="23"/>
      <c r="C7" s="27" t="s">
        <v>7</v>
      </c>
      <c r="D7" s="193" t="str">
        <f>'Kops a'!D8</f>
        <v>Mātera iela 31, Jelgava, LV-3001, KAD.NR.09000010447001</v>
      </c>
      <c r="E7" s="193"/>
      <c r="F7" s="193"/>
      <c r="G7" s="193"/>
      <c r="H7" s="193"/>
      <c r="I7" s="193"/>
      <c r="J7" s="193"/>
      <c r="K7" s="193"/>
      <c r="L7" s="193"/>
      <c r="M7" s="17"/>
      <c r="N7" s="17"/>
      <c r="O7" s="17"/>
      <c r="P7" s="17"/>
    </row>
    <row r="8" spans="1:16">
      <c r="A8" s="23"/>
      <c r="B8" s="23"/>
      <c r="C8" s="4" t="s">
        <v>20</v>
      </c>
      <c r="D8" s="193">
        <f>'Kops a'!D9</f>
        <v>0</v>
      </c>
      <c r="E8" s="193"/>
      <c r="F8" s="193"/>
      <c r="G8" s="193"/>
      <c r="H8" s="193"/>
      <c r="I8" s="193"/>
      <c r="J8" s="193"/>
      <c r="K8" s="193"/>
      <c r="L8" s="193"/>
      <c r="M8" s="17"/>
      <c r="N8" s="17"/>
      <c r="O8" s="17"/>
      <c r="P8" s="17"/>
    </row>
    <row r="9" spans="1:16" ht="11.25" customHeight="1">
      <c r="A9" s="179" t="s">
        <v>77</v>
      </c>
      <c r="B9" s="179"/>
      <c r="C9" s="179"/>
      <c r="D9" s="179"/>
      <c r="E9" s="179"/>
      <c r="F9" s="179"/>
      <c r="G9" s="179"/>
      <c r="H9" s="179"/>
      <c r="I9" s="179"/>
      <c r="J9" s="185" t="s">
        <v>39</v>
      </c>
      <c r="K9" s="185"/>
      <c r="L9" s="185"/>
      <c r="M9" s="185"/>
      <c r="N9" s="192">
        <f>P46</f>
        <v>0</v>
      </c>
      <c r="O9" s="192"/>
      <c r="P9" s="31"/>
    </row>
    <row r="10" spans="1:16">
      <c r="A10" s="32"/>
      <c r="B10" s="33"/>
      <c r="C10" s="4"/>
      <c r="D10" s="23"/>
      <c r="E10" s="111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A52</f>
        <v>Tāme sastādīta</v>
      </c>
    </row>
    <row r="11" spans="1:16" ht="10.8" thickBot="1">
      <c r="A11" s="32"/>
      <c r="B11" s="33"/>
      <c r="C11" s="4"/>
      <c r="D11" s="23"/>
      <c r="E11" s="111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>
      <c r="A12" s="149" t="s">
        <v>23</v>
      </c>
      <c r="B12" s="187" t="s">
        <v>40</v>
      </c>
      <c r="C12" s="183" t="s">
        <v>41</v>
      </c>
      <c r="D12" s="190" t="s">
        <v>42</v>
      </c>
      <c r="E12" s="194" t="s">
        <v>43</v>
      </c>
      <c r="F12" s="182" t="s">
        <v>44</v>
      </c>
      <c r="G12" s="183"/>
      <c r="H12" s="183"/>
      <c r="I12" s="183"/>
      <c r="J12" s="183"/>
      <c r="K12" s="184"/>
      <c r="L12" s="182" t="s">
        <v>45</v>
      </c>
      <c r="M12" s="183"/>
      <c r="N12" s="183"/>
      <c r="O12" s="183"/>
      <c r="P12" s="184"/>
    </row>
    <row r="13" spans="1:16" ht="126.75" customHeight="1" thickBot="1">
      <c r="A13" s="186"/>
      <c r="B13" s="188"/>
      <c r="C13" s="189"/>
      <c r="D13" s="191"/>
      <c r="E13" s="19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0.399999999999999">
      <c r="A14" s="38" t="s">
        <v>78</v>
      </c>
      <c r="B14" s="39" t="s">
        <v>198</v>
      </c>
      <c r="C14" s="47" t="s">
        <v>205</v>
      </c>
      <c r="D14" s="24" t="s">
        <v>81</v>
      </c>
      <c r="E14" s="106">
        <v>232.8</v>
      </c>
      <c r="F14" s="67"/>
      <c r="G14" s="64"/>
      <c r="H14" s="48">
        <f t="shared" ref="H14:H45" si="0">ROUND(G14*F14,2)</f>
        <v>0</v>
      </c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>
      <c r="A15" s="38"/>
      <c r="B15" s="39"/>
      <c r="C15" s="95" t="s">
        <v>206</v>
      </c>
      <c r="D15" s="24" t="s">
        <v>81</v>
      </c>
      <c r="E15" s="106">
        <f>SUM(E14)*1.1</f>
        <v>256.08</v>
      </c>
      <c r="F15" s="67"/>
      <c r="G15" s="64"/>
      <c r="H15" s="48"/>
      <c r="I15" s="64"/>
      <c r="J15" s="64"/>
      <c r="K15" s="49">
        <f t="shared" ref="K15:K45" si="1">SUM(H15:J15)</f>
        <v>0</v>
      </c>
      <c r="L15" s="50">
        <f t="shared" ref="L15:L45" si="2">ROUND(E15*F15,2)</f>
        <v>0</v>
      </c>
      <c r="M15" s="48">
        <f t="shared" ref="M15:M45" si="3">ROUND(H15*E15,2)</f>
        <v>0</v>
      </c>
      <c r="N15" s="48">
        <f t="shared" ref="N15:N45" si="4">ROUND(I15*E15,2)</f>
        <v>0</v>
      </c>
      <c r="O15" s="48">
        <f t="shared" ref="O15:O45" si="5">ROUND(J15*E15,2)</f>
        <v>0</v>
      </c>
      <c r="P15" s="49">
        <f t="shared" ref="P15:P45" si="6">SUM(M15:O15)</f>
        <v>0</v>
      </c>
    </row>
    <row r="16" spans="1:16">
      <c r="A16" s="38"/>
      <c r="B16" s="39"/>
      <c r="C16" s="95" t="s">
        <v>207</v>
      </c>
      <c r="D16" s="24" t="s">
        <v>71</v>
      </c>
      <c r="E16" s="105">
        <v>30</v>
      </c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0.399999999999999">
      <c r="A17" s="38" t="s">
        <v>82</v>
      </c>
      <c r="B17" s="39" t="s">
        <v>198</v>
      </c>
      <c r="C17" s="47" t="s">
        <v>208</v>
      </c>
      <c r="D17" s="24" t="s">
        <v>81</v>
      </c>
      <c r="E17" s="106">
        <v>675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>
      <c r="A18" s="38"/>
      <c r="B18" s="39"/>
      <c r="C18" s="95" t="s">
        <v>206</v>
      </c>
      <c r="D18" s="24" t="s">
        <v>81</v>
      </c>
      <c r="E18" s="106">
        <f>SUM(E17)*1.1</f>
        <v>742.5</v>
      </c>
      <c r="F18" s="67"/>
      <c r="G18" s="64"/>
      <c r="H18" s="48"/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>
      <c r="A19" s="38"/>
      <c r="B19" s="39"/>
      <c r="C19" s="95" t="s">
        <v>207</v>
      </c>
      <c r="D19" s="24" t="s">
        <v>71</v>
      </c>
      <c r="E19" s="105">
        <v>40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>
      <c r="A20" s="38" t="s">
        <v>88</v>
      </c>
      <c r="B20" s="39" t="s">
        <v>198</v>
      </c>
      <c r="C20" s="47" t="s">
        <v>209</v>
      </c>
      <c r="D20" s="24" t="s">
        <v>81</v>
      </c>
      <c r="E20" s="106">
        <v>600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>
      <c r="A21" s="38" t="s">
        <v>94</v>
      </c>
      <c r="B21" s="39" t="s">
        <v>198</v>
      </c>
      <c r="C21" s="47" t="s">
        <v>210</v>
      </c>
      <c r="D21" s="24" t="s">
        <v>81</v>
      </c>
      <c r="E21" s="106">
        <v>560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>
      <c r="A22" s="38" t="s">
        <v>96</v>
      </c>
      <c r="B22" s="39" t="s">
        <v>198</v>
      </c>
      <c r="C22" s="47" t="s">
        <v>211</v>
      </c>
      <c r="D22" s="24" t="s">
        <v>81</v>
      </c>
      <c r="E22" s="106">
        <v>600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>
      <c r="A23" s="38"/>
      <c r="B23" s="39"/>
      <c r="C23" s="95" t="s">
        <v>203</v>
      </c>
      <c r="D23" s="24" t="s">
        <v>212</v>
      </c>
      <c r="E23" s="105">
        <f>SUM(E22)*0.3</f>
        <v>180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>
      <c r="A24" s="38"/>
      <c r="B24" s="39"/>
      <c r="C24" s="95" t="s">
        <v>213</v>
      </c>
      <c r="D24" s="24" t="s">
        <v>107</v>
      </c>
      <c r="E24" s="105">
        <f>SUM(E22)*3</f>
        <v>1800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>
      <c r="A25" s="38"/>
      <c r="B25" s="39"/>
      <c r="C25" s="95" t="s">
        <v>214</v>
      </c>
      <c r="D25" s="24" t="s">
        <v>107</v>
      </c>
      <c r="E25" s="105">
        <f>SUM(E22)*1.5</f>
        <v>900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>
      <c r="A26" s="38"/>
      <c r="B26" s="39"/>
      <c r="C26" s="95" t="s">
        <v>215</v>
      </c>
      <c r="D26" s="24" t="s">
        <v>81</v>
      </c>
      <c r="E26" s="106">
        <f>SUM(E22)*0.04</f>
        <v>24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0.399999999999999">
      <c r="A27" s="38" t="s">
        <v>98</v>
      </c>
      <c r="B27" s="39" t="s">
        <v>198</v>
      </c>
      <c r="C27" s="47" t="s">
        <v>216</v>
      </c>
      <c r="D27" s="24" t="s">
        <v>81</v>
      </c>
      <c r="E27" s="106">
        <v>600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>
      <c r="A28" s="38"/>
      <c r="B28" s="39"/>
      <c r="C28" s="95" t="s">
        <v>217</v>
      </c>
      <c r="D28" s="24" t="s">
        <v>212</v>
      </c>
      <c r="E28" s="105">
        <f>SUM(E27)*0.3</f>
        <v>180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>
      <c r="A29" s="38" t="s">
        <v>102</v>
      </c>
      <c r="B29" s="39" t="s">
        <v>198</v>
      </c>
      <c r="C29" s="47" t="s">
        <v>218</v>
      </c>
      <c r="D29" s="24" t="s">
        <v>81</v>
      </c>
      <c r="E29" s="106">
        <v>1125</v>
      </c>
      <c r="F29" s="67"/>
      <c r="G29" s="64"/>
      <c r="H29" s="48">
        <f t="shared" ref="H29" si="7">ROUND(G29*F29,2)</f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>
      <c r="A30" s="38"/>
      <c r="B30" s="39"/>
      <c r="C30" s="95" t="s">
        <v>219</v>
      </c>
      <c r="D30" s="24" t="s">
        <v>212</v>
      </c>
      <c r="E30" s="105">
        <f>SUM(E29)*0.3</f>
        <v>338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>
      <c r="A31" s="38"/>
      <c r="B31" s="39"/>
      <c r="C31" s="95" t="s">
        <v>220</v>
      </c>
      <c r="D31" s="24" t="s">
        <v>107</v>
      </c>
      <c r="E31" s="105">
        <f>SUM(E29)*12</f>
        <v>13500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>
      <c r="A32" s="38" t="s">
        <v>115</v>
      </c>
      <c r="B32" s="39" t="s">
        <v>198</v>
      </c>
      <c r="C32" s="47" t="s">
        <v>221</v>
      </c>
      <c r="D32" s="24" t="s">
        <v>81</v>
      </c>
      <c r="E32" s="106">
        <v>1125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20">
      <c r="A33" s="38"/>
      <c r="B33" s="39"/>
      <c r="C33" s="95" t="s">
        <v>203</v>
      </c>
      <c r="D33" s="24" t="s">
        <v>212</v>
      </c>
      <c r="E33" s="105">
        <f>SUM(E32)*0.3</f>
        <v>338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20">
      <c r="A34" s="38"/>
      <c r="B34" s="39"/>
      <c r="C34" s="95" t="s">
        <v>213</v>
      </c>
      <c r="D34" s="24" t="s">
        <v>107</v>
      </c>
      <c r="E34" s="105">
        <f>SUM(E32)*3</f>
        <v>3375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20">
      <c r="A35" s="38"/>
      <c r="B35" s="39"/>
      <c r="C35" s="95" t="s">
        <v>214</v>
      </c>
      <c r="D35" s="24" t="s">
        <v>107</v>
      </c>
      <c r="E35" s="105">
        <f>SUM(E32)*1.5</f>
        <v>1688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  <c r="T35" s="119"/>
    </row>
    <row r="36" spans="1:20">
      <c r="A36" s="38"/>
      <c r="B36" s="39"/>
      <c r="C36" s="95" t="s">
        <v>215</v>
      </c>
      <c r="D36" s="24" t="s">
        <v>81</v>
      </c>
      <c r="E36" s="106">
        <v>24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20" ht="20.399999999999999">
      <c r="A37" s="38" t="s">
        <v>118</v>
      </c>
      <c r="B37" s="39" t="s">
        <v>198</v>
      </c>
      <c r="C37" s="47" t="s">
        <v>222</v>
      </c>
      <c r="D37" s="24" t="s">
        <v>81</v>
      </c>
      <c r="E37" s="106">
        <v>1000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20" ht="20.399999999999999">
      <c r="A38" s="38"/>
      <c r="B38" s="39"/>
      <c r="C38" s="95" t="s">
        <v>223</v>
      </c>
      <c r="D38" s="24" t="s">
        <v>212</v>
      </c>
      <c r="E38" s="105">
        <f>SUM(E37)*0.3</f>
        <v>300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20" ht="20.399999999999999">
      <c r="A39" s="38" t="s">
        <v>123</v>
      </c>
      <c r="B39" s="39" t="s">
        <v>198</v>
      </c>
      <c r="C39" s="47" t="s">
        <v>224</v>
      </c>
      <c r="D39" s="24" t="s">
        <v>81</v>
      </c>
      <c r="E39" s="106">
        <v>125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20">
      <c r="A40" s="38"/>
      <c r="B40" s="39"/>
      <c r="C40" s="95" t="s">
        <v>225</v>
      </c>
      <c r="D40" s="24" t="s">
        <v>212</v>
      </c>
      <c r="E40" s="105">
        <f>SUM(E39)*0.3</f>
        <v>38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20" ht="20.399999999999999">
      <c r="A41" s="38" t="s">
        <v>128</v>
      </c>
      <c r="B41" s="39" t="s">
        <v>198</v>
      </c>
      <c r="C41" s="47" t="s">
        <v>226</v>
      </c>
      <c r="D41" s="24" t="s">
        <v>81</v>
      </c>
      <c r="E41" s="106">
        <v>675</v>
      </c>
      <c r="F41" s="67"/>
      <c r="G41" s="64"/>
      <c r="H41" s="48">
        <f t="shared" ref="H41" si="8">ROUND(G41*F41,2)</f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20">
      <c r="A42" s="38"/>
      <c r="B42" s="39"/>
      <c r="C42" s="95" t="s">
        <v>225</v>
      </c>
      <c r="D42" s="24" t="s">
        <v>212</v>
      </c>
      <c r="E42" s="105">
        <f>SUM(E41)*0.3</f>
        <v>203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20" ht="20.399999999999999">
      <c r="A43" s="38" t="s">
        <v>131</v>
      </c>
      <c r="B43" s="39" t="s">
        <v>198</v>
      </c>
      <c r="C43" s="47" t="s">
        <v>227</v>
      </c>
      <c r="D43" s="24" t="s">
        <v>81</v>
      </c>
      <c r="E43" s="120">
        <f>E44*0.95</f>
        <v>191.52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  <c r="Q43" s="196"/>
    </row>
    <row r="44" spans="1:20" ht="20.399999999999999">
      <c r="A44" s="38" t="s">
        <v>228</v>
      </c>
      <c r="B44" s="39" t="s">
        <v>197</v>
      </c>
      <c r="C44" s="47" t="s">
        <v>229</v>
      </c>
      <c r="D44" s="24" t="s">
        <v>57</v>
      </c>
      <c r="E44" s="120">
        <f>12*2.8*6</f>
        <v>201.6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  <c r="Q44" s="196" t="s">
        <v>369</v>
      </c>
    </row>
    <row r="45" spans="1:20" ht="21" thickBot="1">
      <c r="A45" s="38" t="s">
        <v>230</v>
      </c>
      <c r="B45" s="39" t="s">
        <v>197</v>
      </c>
      <c r="C45" s="47" t="s">
        <v>231</v>
      </c>
      <c r="D45" s="24" t="s">
        <v>61</v>
      </c>
      <c r="E45" s="106">
        <v>6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20" ht="10.8" thickBot="1">
      <c r="A46" s="176" t="s">
        <v>76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8"/>
      <c r="L46" s="68">
        <f>SUM(L14:L45)</f>
        <v>0</v>
      </c>
      <c r="M46" s="69">
        <f>SUM(M14:M45)</f>
        <v>0</v>
      </c>
      <c r="N46" s="69">
        <f>SUM(N14:N45)</f>
        <v>0</v>
      </c>
      <c r="O46" s="69">
        <f>SUM(O14:O45)</f>
        <v>0</v>
      </c>
      <c r="P46" s="70">
        <f>SUM(P14:P45)</f>
        <v>0</v>
      </c>
    </row>
    <row r="47" spans="1:20">
      <c r="A47" s="17"/>
      <c r="B47" s="17"/>
      <c r="C47" s="17"/>
      <c r="D47" s="17"/>
      <c r="E47" s="113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>
      <c r="A48" s="17"/>
      <c r="B48" s="17"/>
      <c r="C48" s="17"/>
      <c r="D48" s="17"/>
      <c r="E48" s="113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>
      <c r="A49" s="1" t="s">
        <v>14</v>
      </c>
      <c r="B49" s="17"/>
      <c r="C49" s="175">
        <f>'Kops a'!C33:H33</f>
        <v>0</v>
      </c>
      <c r="D49" s="175"/>
      <c r="E49" s="175"/>
      <c r="F49" s="175"/>
      <c r="G49" s="175"/>
      <c r="H49" s="175"/>
      <c r="I49" s="17"/>
      <c r="J49" s="17"/>
      <c r="K49" s="17"/>
      <c r="L49" s="17"/>
      <c r="M49" s="17"/>
      <c r="N49" s="17"/>
      <c r="O49" s="17"/>
      <c r="P49" s="17"/>
    </row>
    <row r="50" spans="1:16">
      <c r="A50" s="17"/>
      <c r="B50" s="17"/>
      <c r="C50" s="125" t="s">
        <v>15</v>
      </c>
      <c r="D50" s="125"/>
      <c r="E50" s="125"/>
      <c r="F50" s="125"/>
      <c r="G50" s="125"/>
      <c r="H50" s="125"/>
      <c r="I50" s="17"/>
      <c r="J50" s="17"/>
      <c r="K50" s="17"/>
      <c r="L50" s="17"/>
      <c r="M50" s="17"/>
      <c r="N50" s="17"/>
      <c r="O50" s="17"/>
      <c r="P50" s="17"/>
    </row>
    <row r="51" spans="1:16">
      <c r="A51" s="17"/>
      <c r="B51" s="17"/>
      <c r="C51" s="17"/>
      <c r="D51" s="17"/>
      <c r="E51" s="11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>
      <c r="A52" s="87" t="str">
        <f>'Kops a'!A36</f>
        <v>Tāme sastādīta</v>
      </c>
      <c r="B52" s="88"/>
      <c r="C52" s="88"/>
      <c r="D52" s="88"/>
      <c r="E52" s="113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>
      <c r="A53" s="17"/>
      <c r="B53" s="17"/>
      <c r="C53" s="17"/>
      <c r="D53" s="17"/>
      <c r="E53" s="113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>
      <c r="A54" s="1" t="s">
        <v>37</v>
      </c>
      <c r="B54" s="17"/>
      <c r="C54" s="175">
        <f>'Kops a'!C38:H38</f>
        <v>0</v>
      </c>
      <c r="D54" s="175"/>
      <c r="E54" s="175"/>
      <c r="F54" s="175"/>
      <c r="G54" s="175"/>
      <c r="H54" s="175"/>
      <c r="I54" s="17"/>
      <c r="J54" s="17"/>
      <c r="K54" s="17"/>
      <c r="L54" s="17"/>
      <c r="M54" s="17"/>
      <c r="N54" s="17"/>
      <c r="O54" s="17"/>
      <c r="P54" s="17"/>
    </row>
    <row r="55" spans="1:16">
      <c r="A55" s="17"/>
      <c r="B55" s="17"/>
      <c r="C55" s="125" t="s">
        <v>15</v>
      </c>
      <c r="D55" s="125"/>
      <c r="E55" s="125"/>
      <c r="F55" s="125"/>
      <c r="G55" s="125"/>
      <c r="H55" s="125"/>
      <c r="I55" s="17"/>
      <c r="J55" s="17"/>
      <c r="K55" s="17"/>
      <c r="L55" s="17"/>
      <c r="M55" s="17"/>
      <c r="N55" s="17"/>
      <c r="O55" s="17"/>
      <c r="P55" s="17"/>
    </row>
    <row r="56" spans="1:16">
      <c r="A56" s="17"/>
      <c r="B56" s="17"/>
      <c r="C56" s="17"/>
      <c r="D56" s="17"/>
      <c r="E56" s="113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87" t="s">
        <v>54</v>
      </c>
      <c r="B57" s="88"/>
      <c r="C57" s="92">
        <f>'Kops a'!C41</f>
        <v>0</v>
      </c>
      <c r="D57" s="51"/>
      <c r="E57" s="113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7"/>
      <c r="B58" s="17"/>
      <c r="C58" s="17"/>
      <c r="D58" s="17"/>
      <c r="E58" s="113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23">
    <mergeCell ref="L12:P12"/>
    <mergeCell ref="A9:I9"/>
    <mergeCell ref="C2:I2"/>
    <mergeCell ref="C3:I3"/>
    <mergeCell ref="D5:L5"/>
    <mergeCell ref="D6:L6"/>
    <mergeCell ref="D7:L7"/>
    <mergeCell ref="Q43:Q44"/>
    <mergeCell ref="C55:H55"/>
    <mergeCell ref="C4:I4"/>
    <mergeCell ref="F12:K12"/>
    <mergeCell ref="J9:M9"/>
    <mergeCell ref="D8:L8"/>
    <mergeCell ref="A46:K46"/>
    <mergeCell ref="C49:H49"/>
    <mergeCell ref="C50:H50"/>
    <mergeCell ref="C54:H54"/>
    <mergeCell ref="N9:O9"/>
    <mergeCell ref="A12:A13"/>
    <mergeCell ref="B12:B13"/>
    <mergeCell ref="C12:C13"/>
    <mergeCell ref="D12:D13"/>
    <mergeCell ref="E12:E13"/>
  </mergeCells>
  <conditionalFormatting sqref="N9:O9">
    <cfRule type="cellIs" dxfId="77" priority="31" operator="equal">
      <formula>0</formula>
    </cfRule>
  </conditionalFormatting>
  <conditionalFormatting sqref="C2:I2">
    <cfRule type="cellIs" dxfId="76" priority="28" operator="equal">
      <formula>0</formula>
    </cfRule>
  </conditionalFormatting>
  <conditionalFormatting sqref="O10">
    <cfRule type="cellIs" dxfId="75" priority="27" operator="equal">
      <formula>"20__. gada __. _________"</formula>
    </cfRule>
  </conditionalFormatting>
  <conditionalFormatting sqref="A46:K46">
    <cfRule type="containsText" dxfId="74" priority="26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L14:P46">
    <cfRule type="cellIs" dxfId="73" priority="21" operator="equal">
      <formula>0</formula>
    </cfRule>
  </conditionalFormatting>
  <conditionalFormatting sqref="C4:I4">
    <cfRule type="cellIs" dxfId="72" priority="20" operator="equal">
      <formula>0</formula>
    </cfRule>
  </conditionalFormatting>
  <conditionalFormatting sqref="D5:L8">
    <cfRule type="cellIs" dxfId="71" priority="16" operator="equal">
      <formula>0</formula>
    </cfRule>
  </conditionalFormatting>
  <conditionalFormatting sqref="P10">
    <cfRule type="cellIs" dxfId="70" priority="12" operator="equal">
      <formula>"20__. gada __. _________"</formula>
    </cfRule>
  </conditionalFormatting>
  <conditionalFormatting sqref="C54:H54">
    <cfRule type="cellIs" dxfId="69" priority="9" operator="equal">
      <formula>0</formula>
    </cfRule>
  </conditionalFormatting>
  <conditionalFormatting sqref="C49:H49">
    <cfRule type="cellIs" dxfId="68" priority="8" operator="equal">
      <formula>0</formula>
    </cfRule>
  </conditionalFormatting>
  <conditionalFormatting sqref="C54:H54 C57 C49:H49">
    <cfRule type="cellIs" dxfId="67" priority="7" operator="equal">
      <formula>0</formula>
    </cfRule>
  </conditionalFormatting>
  <conditionalFormatting sqref="D1">
    <cfRule type="cellIs" dxfId="66" priority="6" operator="equal">
      <formula>0</formula>
    </cfRule>
  </conditionalFormatting>
  <conditionalFormatting sqref="A14:B45 D14:E45">
    <cfRule type="cellIs" dxfId="65" priority="5" operator="equal">
      <formula>0</formula>
    </cfRule>
  </conditionalFormatting>
  <conditionalFormatting sqref="C14:C45">
    <cfRule type="cellIs" dxfId="64" priority="4" operator="equal">
      <formula>0</formula>
    </cfRule>
  </conditionalFormatting>
  <conditionalFormatting sqref="I14:J45 F14:G45">
    <cfRule type="cellIs" dxfId="63" priority="3" operator="equal">
      <formula>0</formula>
    </cfRule>
  </conditionalFormatting>
  <conditionalFormatting sqref="H14:H45 K14:K45">
    <cfRule type="cellIs" dxfId="62" priority="2" operator="equal">
      <formula>0</formula>
    </cfRule>
  </conditionalFormatting>
  <conditionalFormatting sqref="A9">
    <cfRule type="containsText" dxfId="6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36249DFF-DD18-40B1-AB61-D280DA74812E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10" operator="containsText" id="{708D048F-4463-4EB3-AF79-B8653AFFB42B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2020-06-02T17:20:22Z</cp:lastPrinted>
  <dcterms:created xsi:type="dcterms:W3CDTF">2019-03-11T11:42:22Z</dcterms:created>
  <dcterms:modified xsi:type="dcterms:W3CDTF">2020-09-24T06:57:58Z</dcterms:modified>
</cp:coreProperties>
</file>